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ФХД'!$AP$66</definedName>
    <definedName name="B_FHD_CHECK_INDEX_2">'Показатели ФХД'!$AP$68</definedName>
    <definedName name="B_FHD_COSTS_INDEX_1">'Показатели ФХД'!$H$65:$AN$65</definedName>
    <definedName name="B_FHD_COSTS_INDEX_2">'Показатели ФХД'!$H$67:$AN$67</definedName>
    <definedName name="B_FHD_DATA_TOP80_ACTIVITY">'Показатели ФХД'!$H$81:$AN$81</definedName>
    <definedName name="B_FHD_diff_1">'Показатели ФХД'!$I$25:$I$27</definedName>
    <definedName name="B_FHD_FLAG_DIFFERENTIATION">'Показатели ФХД'!$H$24:$AN$24</definedName>
    <definedName name="B_FHD_FLAG_INDEX_1">'Показатели ФХД'!$H$66:$AN$66</definedName>
    <definedName name="B_FHD_FLAG_INDEX_2">'Показатели ФХД'!$H$68:$AN$68</definedName>
    <definedName name="B_FHD_TKO_DATA_TOP80_ACTIVITY">'ТКО. Показатели ФХД'!$H$43:$AN$43</definedName>
    <definedName name="B_FHD_TKO_diff_1">'ТКО. Показатели ФХД'!$I$10:$I$12</definedName>
    <definedName name="B_FHD_TKO_FLAG_DIFFERENTIATION">'ТКО. Показатели ФХД'!$H$9:$AN$9</definedName>
    <definedName name="B_FHD_TKO_TRANS_DATA_TOP80_ACTIVITY">'ТКО. Транс. Показатели ФХД'!$H$35:$AN$35</definedName>
    <definedName name="B_FHD_TKO_TRANS_diff_1">'ТКО. Транс. Показатели ФХД'!$I$10:$I$12</definedName>
    <definedName name="B_FHD_TKO_TRANS_FLAG_DIFFERENTIATION">'ТКО. Транс. Показатели ФХД'!$H$9:$AN$9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&gt;20%'!$D$13:$S$293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&gt;20%'!$V$11:$V$293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ОТЭП'!$L$9:$AS$9</definedName>
    <definedName name="B_OTEP_HEAT_DATA_TOP80_ACTIVITY">'Показатели ОТЭП'!$L$15:$AS$15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Дифференциация!$I$12:$I$48</definedName>
    <definedName name="DIFFERENTIATION_AREA_ID">Дифференциация!$U$11:$U$49</definedName>
    <definedName name="DIFFERENTIATION_CheckC">Дифференциация!$D$12:$M$48</definedName>
    <definedName name="DIFFERENTIATION_fieldMarker">Дифференциация!$W$12:$W$48</definedName>
    <definedName name="DIFFERENTIATION_ID">TEHSHEET!$E$57</definedName>
    <definedName name="DIFFERENTIATION_ID_DIFF">Дифференциация!$O$12:$O$48</definedName>
    <definedName name="DIFFERENTIATION_SYSTEM">Дифференциация!$M$12:$M$48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Дифференциация!$Q$12:$Q$48</definedName>
    <definedName name="DIFFERENTIATION_UNMERGE_SYSTEM">Дифференциация!$R$12:$R$48</definedName>
    <definedName name="DIFFERENTIATION_UNMERGE_VD">Дифференциация!$P$12:$P$48</definedName>
    <definedName name="DIFFERENTIATION_VD">Дифференциация!$E$12:$E$48</definedName>
    <definedName name="DIFFERENTIATION_VD_ID">Дифференциация!$V$11:$V$49</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Ограничения!$F$36:$BS$36</definedName>
    <definedName name="flag_Q_LIMIT_p4">Ограничения!$F$38:$BS$38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Дифференциация!$G$12:$G$48</definedName>
    <definedName name="pDel_DIFFERENTIATION_SYSTEM">Дифференциация!$K$12:$K$48</definedName>
    <definedName name="pDel_DIFFERENTIATION_VD">Дифференциация!$C$12:$C$48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ФХД'!$AN$24</definedName>
    <definedName name="pIns_B_FHD_TKO_2">'ТКО. Показатели ФХД'!$F$34</definedName>
    <definedName name="pIns_B_FHD_TKO_DIFFERENTIATION">'ТКО. Показатели ФХД'!$AN$9</definedName>
    <definedName name="pIns_B_FHD_TKO_TRANS_2">'ТКО. Транс. Показатели ФХД'!$F$29</definedName>
    <definedName name="pIns_B_FHD_TKO_TRANS_DIFFERENTIATION">'ТКО. Транс. Показатели ФХД'!$AN$9</definedName>
    <definedName name="pIns_B_FHD20_DIFFERENTIATION">'Показатели ФХД &gt;20%'!$D$293</definedName>
    <definedName name="pIns_B_KNE_DIFFERENTIATION">'Показатели КНЭ'!$BS$6</definedName>
    <definedName name="pIns_B_OTEP_2">'Показатели ОТЭП'!$J$18</definedName>
    <definedName name="pIns_B_OTEP_DIFFERENTIATION">'Показатели ОТЭП'!$AR$9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Ограничения!$BS$25</definedName>
    <definedName name="pIns_Q_PH_DIFFERENTIATION">'Потребительские характеристики'!$BS$8</definedName>
    <definedName name="pIns_Q_TP_1">ТП!$E$22</definedName>
    <definedName name="pIns_Q_TP_DIFFERENTIATION">ТП!$AM$8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Ограничения!$BS$26</definedName>
    <definedName name="pNote_Q_PH">'Потребительские характеристики'!$BS$9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Ограничения!$E$32:$BS$39</definedName>
    <definedName name="Q_LIMIT_diff_1">Ограничения!$I$26:$J$28</definedName>
    <definedName name="Q_LIMIT_p3">Ограничения!$F$36:$BS$37</definedName>
    <definedName name="Q_LIMIT_p4">Ограничения!$F$38:$BS$39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ФХД'!$AN$131</definedName>
    <definedName name="tblEnd_1_B_FHD_TKO">'ТКО. Показатели ФХД'!$AN$47</definedName>
    <definedName name="tblEnd_1_B_FHD_TKO_TRANS">'ТКО. Транс. Показатели ФХД'!$AN$38</definedName>
    <definedName name="tblEnd_1_B_KNE">'Показатели КНЭ'!$J$101</definedName>
    <definedName name="tblEnd_1_B_OTEP">'Показатели ОТЭП'!$AR$34</definedName>
    <definedName name="tblEnd_1_B_STANDARTS">'Стандарты качества'!$L$13</definedName>
    <definedName name="tblEnd_1_CHANGE_INFO">'Сведения об изменении'!$E$14</definedName>
    <definedName name="tblEnd_1_DIFFERENTIATION">Дифференциация!$M$49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Ограничения!$BS$40</definedName>
    <definedName name="tblEnd_1_Q_PH">'Потребительские характеристики'!$BS$21</definedName>
    <definedName name="tblEnd_1_Q_TP">ТП!$AM$23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Дифференциация!$F$12:$F$48</definedName>
    <definedName name="Y_N_DIFFERENTIATION_SYSTEM">Дифференциация!$J$12:$J$48</definedName>
    <definedName name="YEAR_IP_LIST">TEHSHEET!$BE$2:$BE$72</definedName>
    <definedName name="year_list">TEHSHEET!$C$2:$C$6</definedName>
    <definedName name="year_list1">TEHSHEET!$B$2:$B$27</definedName>
    <definedName name="REESTR_IP_RANGE">REESTR_IP!$A$2:$I$45</definedName>
    <definedName name="VD_LIST">REESTR_VED!$A$2:$B$11</definedName>
    <definedName name="VD_ID_LIST">REESTR_VED!$A$2:$A$11</definedName>
    <definedName name="VD_NAME_LIST">REESTR_VED!$B$2:$B$11</definedName>
    <definedName name="et_B_FHD20_1">et_union_hor!$127:$135</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Q_PH_diff_51111111111111">'Потребительские характеристики'!$AK$9:$AL$11</definedName>
    <definedName name="Q_TP_diff_51111111111111">ТП!$V$9:$V$11</definedName>
    <definedName name="Q_Limit_diff_51111111111111">Ограничения!$AK$26:$AL$28</definedName>
    <definedName name="B_FHD_diff_51111111111111">'Показатели ФХД'!$W$25:$W$27</definedName>
    <definedName name="B_OTEP_diff_51111111111111">'Показатели ОТЭП'!$AA$10:$AA$12</definedName>
    <definedName name="B_FHD20_diff_51111111111111">'Показатели ФХД &gt;20%'!$H$140:$R$142</definedName>
    <definedName name="B_KNE_diff_51111111111111">'Показатели КНЭ'!$AK$7:$AL$9</definedName>
    <definedName name="B_FHD_TKO_diff_51111111111111">'ТКО. Показатели ФХД'!$W$10:$W$12</definedName>
    <definedName name="B_FHD_TKO_TRANS_diff_51111111111111">'ТКО. Транс. Показатели ФХД'!$W$10:$W$12</definedName>
    <definedName name="Q_PH_diff_511111111111111">'Потребительские характеристики'!$AM$9:$AN$11</definedName>
    <definedName name="Q_TP_diff_511111111111111">ТП!$W$9:$W$11</definedName>
    <definedName name="Q_Limit_diff_511111111111111">Ограничения!$AM$26:$AN$28</definedName>
    <definedName name="B_FHD_diff_511111111111111">'Показатели ФХД'!$X$25:$X$27</definedName>
    <definedName name="B_OTEP_diff_511111111111111">'Показатели ОТЭП'!$AB$10:$AB$12</definedName>
    <definedName name="B_FHD20_diff_511111111111111">'Показатели ФХД &gt;20%'!$H$149:$R$151</definedName>
    <definedName name="B_KNE_diff_511111111111111">'Показатели КНЭ'!$AM$7:$AN$9</definedName>
    <definedName name="B_FHD_TKO_diff_511111111111111">'ТКО. Показатели ФХД'!$X$10:$X$12</definedName>
    <definedName name="B_FHD_TKO_TRANS_diff_511111111111111">'ТКО. Транс. Показатели ФХД'!$X$10:$X$12</definedName>
    <definedName name="Q_PH_diff_5111111111111111">'Потребительские характеристики'!$AO$9:$AP$11</definedName>
    <definedName name="Q_TP_diff_5111111111111111">ТП!$X$9:$X$11</definedName>
    <definedName name="Q_Limit_diff_5111111111111111">Ограничения!$AO$26:$AP$28</definedName>
    <definedName name="B_FHD_diff_5111111111111111">'Показатели ФХД'!$Y$25:$Y$27</definedName>
    <definedName name="B_OTEP_diff_5111111111111111">'Показатели ОТЭП'!$AC$10:$AC$12</definedName>
    <definedName name="B_FHD20_diff_5111111111111111">'Показатели ФХД &gt;20%'!$H$158:$R$160</definedName>
    <definedName name="B_KNE_diff_5111111111111111">'Показатели КНЭ'!$AO$7:$AP$9</definedName>
    <definedName name="B_FHD_TKO_diff_5111111111111111">'ТКО. Показатели ФХД'!$Y$10:$Y$12</definedName>
    <definedName name="B_FHD_TKO_TRANS_diff_5111111111111111">'ТКО. Транс. Показатели ФХД'!$Y$10:$Y$12</definedName>
    <definedName name="Q_PH_diff_51111111111111111">'Потребительские характеристики'!$AQ$9:$AR$11</definedName>
    <definedName name="Q_TP_diff_51111111111111111">ТП!$Y$9:$Y$11</definedName>
    <definedName name="Q_Limit_diff_51111111111111111">Ограничения!$AQ$26:$AR$28</definedName>
    <definedName name="B_FHD_diff_51111111111111111">'Показатели ФХД'!$Z$25:$Z$27</definedName>
    <definedName name="B_OTEP_diff_51111111111111111">'Показатели ОТЭП'!$AD$10:$AD$12</definedName>
    <definedName name="B_FHD20_diff_51111111111111111">'Показатели ФХД &gt;20%'!$H$167:$R$169</definedName>
    <definedName name="B_KNE_diff_51111111111111111">'Показатели КНЭ'!$AQ$7:$AR$9</definedName>
    <definedName name="B_FHD_TKO_diff_51111111111111111">'ТКО. Показатели ФХД'!$Z$10:$Z$12</definedName>
    <definedName name="B_FHD_TKO_TRANS_diff_51111111111111111">'ТКО. Транс. Показатели ФХД'!$Z$10:$Z$12</definedName>
    <definedName name="Q_PH_diff_511111111111111111">'Потребительские характеристики'!$AS$9:$AT$11</definedName>
    <definedName name="Q_TP_diff_511111111111111111">ТП!$Z$9:$Z$11</definedName>
    <definedName name="Q_Limit_diff_511111111111111111">Ограничения!$AS$26:$AT$28</definedName>
    <definedName name="B_FHD_diff_511111111111111111">'Показатели ФХД'!$AA$25:$AA$27</definedName>
    <definedName name="B_OTEP_diff_511111111111111111">'Показатели ОТЭП'!$AE$10:$AE$12</definedName>
    <definedName name="B_FHD20_diff_511111111111111111">'Показатели ФХД &gt;20%'!$H$176:$R$178</definedName>
    <definedName name="B_KNE_diff_511111111111111111">'Показатели КНЭ'!$AS$7:$AT$9</definedName>
    <definedName name="B_FHD_TKO_diff_511111111111111111">'ТКО. Показатели ФХД'!$AA$10:$AA$12</definedName>
    <definedName name="B_FHD_TKO_TRANS_diff_511111111111111111">'ТКО. Транс. Показатели ФХД'!$AA$10:$AA$12</definedName>
    <definedName name="Q_PH_diff_5111111111111111111">'Потребительские характеристики'!$AU$9:$AV$11</definedName>
    <definedName name="Q_TP_diff_5111111111111111111">ТП!$AA$9:$AA$11</definedName>
    <definedName name="Q_Limit_diff_5111111111111111111">Ограничения!$AU$26:$AV$28</definedName>
    <definedName name="B_FHD_diff_5111111111111111111">'Показатели ФХД'!$AB$25:$AB$27</definedName>
    <definedName name="B_OTEP_diff_5111111111111111111">'Показатели ОТЭП'!$AF$10:$AF$12</definedName>
    <definedName name="B_FHD20_diff_5111111111111111111">'Показатели ФХД &gt;20%'!$H$185:$R$187</definedName>
    <definedName name="B_KNE_diff_5111111111111111111">'Показатели КНЭ'!$AU$7:$AV$9</definedName>
    <definedName name="B_FHD_TKO_diff_5111111111111111111">'ТКО. Показатели ФХД'!$AB$10:$AB$12</definedName>
    <definedName name="B_FHD_TKO_TRANS_diff_5111111111111111111">'ТКО. Транс. Показатели ФХД'!$AB$10:$AB$12</definedName>
    <definedName name="Q_PH_diff_51111111111111111111">'Потребительские характеристики'!$AW$9:$AX$11</definedName>
    <definedName name="Q_TP_diff_51111111111111111111">ТП!$AB$9:$AB$11</definedName>
    <definedName name="Q_Limit_diff_51111111111111111111">Ограничения!$AW$26:$AX$28</definedName>
    <definedName name="B_FHD_diff_51111111111111111111">'Показатели ФХД'!$AC$25:$AC$27</definedName>
    <definedName name="B_OTEP_diff_51111111111111111111">'Показатели ОТЭП'!$AG$10:$AG$12</definedName>
    <definedName name="B_FHD20_diff_51111111111111111111">'Показатели ФХД &gt;20%'!$H$194:$R$196</definedName>
    <definedName name="B_KNE_diff_51111111111111111111">'Показатели КНЭ'!$AW$7:$AX$9</definedName>
    <definedName name="B_FHD_TKO_diff_51111111111111111111">'ТКО. Показатели ФХД'!$AC$10:$AC$12</definedName>
    <definedName name="B_FHD_TKO_TRANS_diff_51111111111111111111">'ТКО. Транс. Показатели ФХД'!$AC$10:$AC$12</definedName>
    <definedName name="Q_PH_diff_511111111111111111111">'Потребительские характеристики'!$AY$9:$AZ$11</definedName>
    <definedName name="Q_TP_diff_511111111111111111111">ТП!$AC$9:$AC$11</definedName>
    <definedName name="Q_Limit_diff_511111111111111111111">Ограничения!$AY$26:$AZ$28</definedName>
    <definedName name="B_FHD_diff_511111111111111111111">'Показатели ФХД'!$AD$25:$AD$27</definedName>
    <definedName name="B_OTEP_diff_511111111111111111111">'Показатели ОТЭП'!$AH$10:$AH$12</definedName>
    <definedName name="B_FHD20_diff_511111111111111111111">'Показатели ФХД &gt;20%'!$H$203:$R$205</definedName>
    <definedName name="B_KNE_diff_511111111111111111111">'Показатели КНЭ'!$AY$7:$AZ$9</definedName>
    <definedName name="B_FHD_TKO_diff_511111111111111111111">'ТКО. Показатели ФХД'!$AD$10:$AD$12</definedName>
    <definedName name="B_FHD_TKO_TRANS_diff_511111111111111111111">'ТКО. Транс. Показатели ФХД'!$AD$10:$AD$12</definedName>
    <definedName name="Q_PH_diff_5111111111111111111111">'Потребительские характеристики'!$BA$9:$BB$11</definedName>
    <definedName name="Q_TP_diff_5111111111111111111111">ТП!$AD$9:$AD$11</definedName>
    <definedName name="Q_Limit_diff_5111111111111111111111">Ограничения!$BA$26:$BB$28</definedName>
    <definedName name="B_FHD_diff_5111111111111111111111">'Показатели ФХД'!$AE$25:$AE$27</definedName>
    <definedName name="B_OTEP_diff_5111111111111111111111">'Показатели ОТЭП'!$AI$10:$AI$12</definedName>
    <definedName name="B_FHD20_diff_5111111111111111111111">'Показатели ФХД &gt;20%'!$H$212:$R$214</definedName>
    <definedName name="B_KNE_diff_5111111111111111111111">'Показатели КНЭ'!$BA$7:$BB$9</definedName>
    <definedName name="B_FHD_TKO_diff_5111111111111111111111">'ТКО. Показатели ФХД'!$AE$10:$AE$12</definedName>
    <definedName name="B_FHD_TKO_TRANS_diff_5111111111111111111111">'ТКО. Транс. Показатели ФХД'!$AE$10:$AE$12</definedName>
    <definedName name="Q_PH_diff_51111111111111111111111">'Потребительские характеристики'!$BC$9:$BD$11</definedName>
    <definedName name="Q_TP_diff_51111111111111111111111">ТП!$AE$9:$AE$11</definedName>
    <definedName name="Q_Limit_diff_51111111111111111111111">Ограничения!$BC$26:$BD$28</definedName>
    <definedName name="B_FHD_diff_51111111111111111111111">'Показатели ФХД'!$AF$25:$AF$27</definedName>
    <definedName name="B_OTEP_diff_51111111111111111111111">'Показатели ОТЭП'!$AJ$10:$AJ$12</definedName>
    <definedName name="B_FHD20_diff_51111111111111111111111">'Показатели ФХД &gt;20%'!$H$221:$R$223</definedName>
    <definedName name="B_KNE_diff_51111111111111111111111">'Показатели КНЭ'!$BC$7:$BD$9</definedName>
    <definedName name="B_FHD_TKO_diff_51111111111111111111111">'ТКО. Показатели ФХД'!$AF$10:$AF$12</definedName>
    <definedName name="B_FHD_TKO_TRANS_diff_51111111111111111111111">'ТКО. Транс. Показатели ФХД'!$AF$10:$AF$12</definedName>
    <definedName name="Q_PH_diff_511111111111111111111111">'Потребительские характеристики'!$BE$9:$BF$11</definedName>
    <definedName name="Q_TP_diff_511111111111111111111111">ТП!$AF$9:$AF$11</definedName>
    <definedName name="Q_Limit_diff_511111111111111111111111">Ограничения!$BE$26:$BF$28</definedName>
    <definedName name="B_FHD_diff_511111111111111111111111">'Показатели ФХД'!$AG$25:$AG$27</definedName>
    <definedName name="B_OTEP_diff_511111111111111111111111">'Показатели ОТЭП'!$AK$10:$AK$12</definedName>
    <definedName name="B_FHD20_diff_511111111111111111111111">'Показатели ФХД &gt;20%'!$H$230:$R$232</definedName>
    <definedName name="B_KNE_diff_511111111111111111111111">'Показатели КНЭ'!$BE$7:$BF$9</definedName>
    <definedName name="B_FHD_TKO_diff_511111111111111111111111">'ТКО. Показатели ФХД'!$AG$10:$AG$12</definedName>
    <definedName name="B_FHD_TKO_TRANS_diff_511111111111111111111111">'ТКО. Транс. Показатели ФХД'!$AG$10:$AG$12</definedName>
    <definedName name="Q_PH_diff_5111111111111111111111111">'Потребительские характеристики'!$BG$9:$BH$11</definedName>
    <definedName name="Q_TP_diff_5111111111111111111111111">ТП!$AG$9:$AG$11</definedName>
    <definedName name="Q_Limit_diff_5111111111111111111111111">Ограничения!$BG$26:$BH$28</definedName>
    <definedName name="B_FHD_diff_5111111111111111111111111">'Показатели ФХД'!$AH$25:$AH$27</definedName>
    <definedName name="B_OTEP_diff_5111111111111111111111111">'Показатели ОТЭП'!$AL$10:$AL$12</definedName>
    <definedName name="B_FHD20_diff_5111111111111111111111111">'Показатели ФХД &gt;20%'!$H$239:$R$241</definedName>
    <definedName name="B_KNE_diff_5111111111111111111111111">'Показатели КНЭ'!$BG$7:$BH$9</definedName>
    <definedName name="B_FHD_TKO_diff_5111111111111111111111111">'ТКО. Показатели ФХД'!$AH$10:$AH$12</definedName>
    <definedName name="B_FHD_TKO_TRANS_diff_5111111111111111111111111">'ТКО. Транс. Показатели ФХД'!$AH$10:$AH$12</definedName>
    <definedName name="Q_PH_diff_51111111111111111111111111">'Потребительские характеристики'!$BI$9:$BJ$11</definedName>
    <definedName name="Q_TP_diff_51111111111111111111111111">ТП!$AH$9:$AH$11</definedName>
    <definedName name="Q_Limit_diff_51111111111111111111111111">Ограничения!$BI$26:$BJ$28</definedName>
    <definedName name="B_FHD_diff_51111111111111111111111111">'Показатели ФХД'!$AI$25:$AI$27</definedName>
    <definedName name="B_OTEP_diff_51111111111111111111111111">'Показатели ОТЭП'!$AM$10:$AM$12</definedName>
    <definedName name="B_FHD20_diff_51111111111111111111111111">'Показатели ФХД &gt;20%'!$H$248:$R$250</definedName>
    <definedName name="B_KNE_diff_51111111111111111111111111">'Показатели КНЭ'!$BI$7:$BJ$9</definedName>
    <definedName name="B_FHD_TKO_diff_51111111111111111111111111">'ТКО. Показатели ФХД'!$AI$10:$AI$12</definedName>
    <definedName name="B_FHD_TKO_TRANS_diff_51111111111111111111111111">'ТКО. Транс. Показатели ФХД'!$AI$10:$AI$12</definedName>
    <definedName name="Q_PH_diff_511111111111111111111111111">'Потребительские характеристики'!$BK$9:$BL$11</definedName>
    <definedName name="Q_TP_diff_511111111111111111111111111">ТП!$AI$9:$AI$11</definedName>
    <definedName name="Q_Limit_diff_511111111111111111111111111">Ограничения!$BK$26:$BL$28</definedName>
    <definedName name="B_FHD_diff_511111111111111111111111111">'Показатели ФХД'!$AJ$25:$AJ$27</definedName>
    <definedName name="B_OTEP_diff_511111111111111111111111111">'Показатели ОТЭП'!$AN$10:$AN$12</definedName>
    <definedName name="B_FHD20_diff_511111111111111111111111111">'Показатели ФХД &gt;20%'!$H$257:$R$259</definedName>
    <definedName name="B_KNE_diff_511111111111111111111111111">'Показатели КНЭ'!$BK$7:$BL$9</definedName>
    <definedName name="B_FHD_TKO_diff_511111111111111111111111111">'ТКО. Показатели ФХД'!$AJ$10:$AJ$12</definedName>
    <definedName name="B_FHD_TKO_TRANS_diff_511111111111111111111111111">'ТКО. Транс. Показатели ФХД'!$AJ$10:$AJ$12</definedName>
    <definedName name="Q_PH_diff_5111111111111111111111111111">'Потребительские характеристики'!$BM$9:$BN$11</definedName>
    <definedName name="Q_TP_diff_5111111111111111111111111111">ТП!$AJ$9:$AJ$11</definedName>
    <definedName name="Q_Limit_diff_5111111111111111111111111111">Ограничения!$BM$26:$BN$28</definedName>
    <definedName name="B_FHD_diff_5111111111111111111111111111">'Показатели ФХД'!$AK$25:$AK$27</definedName>
    <definedName name="B_OTEP_diff_5111111111111111111111111111">'Показатели ОТЭП'!$AO$10:$AO$12</definedName>
    <definedName name="B_FHD20_diff_5111111111111111111111111111">'Показатели ФХД &gt;20%'!$H$266:$R$268</definedName>
    <definedName name="B_KNE_diff_5111111111111111111111111111">'Показатели КНЭ'!$BM$7:$BN$9</definedName>
    <definedName name="B_FHD_TKO_diff_5111111111111111111111111111">'ТКО. Показатели ФХД'!$AK$10:$AK$12</definedName>
    <definedName name="B_FHD_TKO_TRANS_diff_5111111111111111111111111111">'ТКО. Транс. Показатели ФХД'!$AK$10:$AK$12</definedName>
    <definedName name="DESCRIPTION_TERRITORY">REESTR_DS!$B$2</definedName>
    <definedName name="Q_PH_diff_51111111111111111111111111111">'Потребительские характеристики'!$BO$9:$BP$11</definedName>
    <definedName name="Q_TP_diff_51111111111111111111111111111">ТП!$AK$9:$AK$11</definedName>
    <definedName name="Q_Limit_diff_51111111111111111111111111111">Ограничения!$BO$26:$BP$28</definedName>
    <definedName name="B_FHD_diff_51111111111111111111111111111">'Показатели ФХД'!$AL$25:$AL$27</definedName>
    <definedName name="B_OTEP_diff_51111111111111111111111111111">'Показатели ОТЭП'!$AP$10:$AP$12</definedName>
    <definedName name="B_FHD20_diff_51111111111111111111111111111">'Показатели ФХД &gt;20%'!$H$275:$R$277</definedName>
    <definedName name="B_KNE_diff_51111111111111111111111111111">'Показатели КНЭ'!$BO$7:$BP$9</definedName>
    <definedName name="B_FHD_TKO_diff_51111111111111111111111111111">'ТКО. Показатели ФХД'!$AL$10:$AL$12</definedName>
    <definedName name="B_FHD_TKO_TRANS_diff_51111111111111111111111111111">'ТКО. Транс. Показатели ФХД'!$AL$10:$AL$12</definedName>
    <definedName name="Q_PH_diff_511111111111111111111111111111">'Потребительские характеристики'!$BQ$9:$BR$11</definedName>
    <definedName name="Q_TP_diff_511111111111111111111111111111">ТП!$AL$9:$AL$11</definedName>
    <definedName name="Q_Limit_diff_511111111111111111111111111111">Ограничения!$BQ$26:$BR$28</definedName>
    <definedName name="B_FHD_diff_511111111111111111111111111111">'Показатели ФХД'!$AM$25:$AM$27</definedName>
    <definedName name="B_OTEP_diff_511111111111111111111111111111">'Показатели ОТЭП'!$AQ$10:$AQ$12</definedName>
    <definedName name="B_FHD20_diff_511111111111111111111111111111">'Показатели ФХД &gt;20%'!$H$284:$R$286</definedName>
    <definedName name="B_KNE_diff_511111111111111111111111111111">'Показатели КНЭ'!$BQ$7:$BR$9</definedName>
    <definedName name="B_FHD_TKO_diff_511111111111111111111111111111">'ТКО. Показатели ФХД'!$AM$10:$AM$12</definedName>
    <definedName name="B_FHD_TKO_TRANS_diff_511111111111111111111111111111">'ТКО. Транс. Показатели ФХД'!$AM$10:$AM$12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<sst xmlns="http://schemas.openxmlformats.org/spreadsheetml/2006/main" count="22189" uniqueCount="4814">
  <si>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</si>
  <si>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</si>
  <si>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</si>
  <si>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</si>
  <si>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</si>
  <si>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</si>
  <si>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</si>
  <si>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</si>
  <si>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</si>
  <si>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</si>
  <si>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</si>
  <si>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</si>
  <si>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</si>
  <si>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31432962</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</si>
  <si>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</si>
  <si>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</si>
  <si>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</si>
  <si>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</si>
  <si>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</si>
  <si>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</si>
  <si>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</si>
  <si>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</si>
  <si>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</si>
  <si>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</si>
  <si>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</si>
  <si>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</si>
  <si>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</si>
  <si>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</si>
  <si>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</si>
  <si>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</si>
  <si>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</si>
  <si>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</si>
  <si>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</si>
  <si>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</si>
  <si>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</si>
  <si>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</si>
  <si>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</si>
  <si>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</si>
  <si>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</si>
  <si>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</si>
  <si>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</si>
  <si>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</si>
  <si>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</si>
  <si>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</si>
  <si>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</si>
  <si>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</si>
  <si>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"СамРЭК-Тепло Жигулевск"</t>
  </si>
  <si>
    <t>Наименование (описание) обособленного подразделения</t>
  </si>
  <si>
    <t>ИНН</t>
  </si>
  <si>
    <t>6382079233</t>
  </si>
  <si>
    <t>КПП</t>
  </si>
  <si>
    <t>638201001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</si>
  <si>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</si>
  <si>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</si>
  <si>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</si>
  <si>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</si>
  <si>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</si>
  <si>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</si>
  <si>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</si>
  <si>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</si>
  <si>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</si>
  <si>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</si>
  <si>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</si>
  <si>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</si>
  <si>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</si>
  <si>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</si>
  <si>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</si>
  <si>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</si>
  <si>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</si>
  <si>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</si>
  <si>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445350, Самарская область, г. Жигулевск, ул. Мира, дом 19, офис 1</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</si>
  <si>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</si>
  <si>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</si>
  <si>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</si>
  <si>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</si>
  <si>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</si>
  <si>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</si>
  <si>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</si>
  <si>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</si>
  <si>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</si>
  <si>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</si>
  <si>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</si>
  <si>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</si>
  <si>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</si>
  <si>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</si>
  <si>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</si>
  <si>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</si>
  <si>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</si>
  <si>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</si>
  <si>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</si>
  <si>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</si>
  <si>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</si>
  <si>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</si>
  <si>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</si>
  <si>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</si>
  <si>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</si>
  <si>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</si>
  <si>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</si>
  <si>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</si>
  <si>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325</t>
  </si>
  <si>
    <t>городской округ Жигулевск</t>
  </si>
  <si>
    <t>36704000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</si>
  <si>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</si>
  <si>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</si>
  <si>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</si>
  <si>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</si>
  <si>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</si>
  <si>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</si>
  <si>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</si>
  <si>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</si>
  <si>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</si>
  <si>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</si>
  <si>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</si>
  <si>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</si>
  <si>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</si>
  <si>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</si>
  <si>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</si>
  <si>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Котельная №1 по ул.Ново-Самарская, д.12</t>
  </si>
  <si>
    <t>diff_1</t>
  </si>
  <si>
    <t>4190064</t>
  </si>
  <si>
    <t>a</t>
  </si>
  <si>
    <t>×</t>
  </si>
  <si>
    <t>Котельная №2,  ул.Пирогова около д.4</t>
  </si>
  <si>
    <t>diff_5</t>
  </si>
  <si>
    <t>Котельная №3, ул.Комсомольская около д.1 по ул.Ленина</t>
  </si>
  <si>
    <t>diff_51</t>
  </si>
  <si>
    <t>Тепловой центр №1 ул.Вокзальная ок д.№8</t>
  </si>
  <si>
    <t>diff_511</t>
  </si>
  <si>
    <t xml:space="preserve">Котельная №5, Александр. Поле, около д.30 по ул.Советская </t>
  </si>
  <si>
    <t>diff_5111</t>
  </si>
  <si>
    <t xml:space="preserve">Котельная №6, ул.Пушкина </t>
  </si>
  <si>
    <t>diff_51111</t>
  </si>
  <si>
    <t>Тепловой центр №2 ул.Вокзальная ок д.№20</t>
  </si>
  <si>
    <t>diff_511111</t>
  </si>
  <si>
    <t>Котельная №8, ул.Мира</t>
  </si>
  <si>
    <t>diff_5111111</t>
  </si>
  <si>
    <t>9</t>
  </si>
  <si>
    <t>Котельная №9, ул.Гоголя</t>
  </si>
  <si>
    <t>diff_51111111</t>
  </si>
  <si>
    <t>10</t>
  </si>
  <si>
    <t>Котельная №10, ул.Гоголя</t>
  </si>
  <si>
    <t>diff_511111111</t>
  </si>
  <si>
    <t>11</t>
  </si>
  <si>
    <t>Котельная №12а, ул.Мира</t>
  </si>
  <si>
    <t>diff_5111111111</t>
  </si>
  <si>
    <t>12</t>
  </si>
  <si>
    <t>Котельная №13, ул.Морквашинская</t>
  </si>
  <si>
    <t>diff_51111111111</t>
  </si>
  <si>
    <t>13</t>
  </si>
  <si>
    <t>ЦТП-1 ул.Морквашинская ок.д№7</t>
  </si>
  <si>
    <t>diff_511111111111</t>
  </si>
  <si>
    <t>14</t>
  </si>
  <si>
    <t>ЦТП-2, В-1,ок.д.№10</t>
  </si>
  <si>
    <t>diff_5111111111111</t>
  </si>
  <si>
    <t>15</t>
  </si>
  <si>
    <t>ЦТП-9, ул.Пролетарская д.23/ул.Транспортная д.10</t>
  </si>
  <si>
    <t>diff_51111111111111</t>
  </si>
  <si>
    <t>16</t>
  </si>
  <si>
    <t>ПНС№1-  Пролет, 5</t>
  </si>
  <si>
    <t>diff_511111111111111</t>
  </si>
  <si>
    <t>17</t>
  </si>
  <si>
    <t>ПНС№2, ул.Репина,3</t>
  </si>
  <si>
    <t>diff_5111111111111111</t>
  </si>
  <si>
    <t>18</t>
  </si>
  <si>
    <t>Котельная №14, ул.Радиозаводская</t>
  </si>
  <si>
    <t>diff_51111111111111111</t>
  </si>
  <si>
    <t>19</t>
  </si>
  <si>
    <t>ЦТП-3, ул.Радиозаводская,ок.д.№6</t>
  </si>
  <si>
    <t>diff_511111111111111111</t>
  </si>
  <si>
    <t>20</t>
  </si>
  <si>
    <t>Котельная №17а с.Зольное , ул.Первомайская.</t>
  </si>
  <si>
    <t>diff_5111111111111111111</t>
  </si>
  <si>
    <t>21</t>
  </si>
  <si>
    <t>Котельная №18А, с.Солнечная Поляна, ул. 4-я Линия</t>
  </si>
  <si>
    <t>diff_51111111111111111111</t>
  </si>
  <si>
    <t>22</t>
  </si>
  <si>
    <t>Котельная №20,пос.Яблоневый Овраг , ул Никитина</t>
  </si>
  <si>
    <t>diff_511111111111111111111</t>
  </si>
  <si>
    <t>23</t>
  </si>
  <si>
    <t>Котельная №22, ул.Магистральная</t>
  </si>
  <si>
    <t>diff_5111111111111111111111</t>
  </si>
  <si>
    <t>24</t>
  </si>
  <si>
    <t>Котельная №25,  МКР Г-1, ул.Гидротехническая</t>
  </si>
  <si>
    <t>diff_51111111111111111111111</t>
  </si>
  <si>
    <t>25</t>
  </si>
  <si>
    <t>ЦТП-7, ул.Оборонная</t>
  </si>
  <si>
    <t>diff_511111111111111111111111</t>
  </si>
  <si>
    <t>26</t>
  </si>
  <si>
    <t>ЦТП-8, ул.Шевченко</t>
  </si>
  <si>
    <t>diff_5111111111111111111111111</t>
  </si>
  <si>
    <t>27</t>
  </si>
  <si>
    <t>ПНС, ул.Парковая</t>
  </si>
  <si>
    <t>diff_51111111111111111111111111</t>
  </si>
  <si>
    <t>28</t>
  </si>
  <si>
    <t>Котельная №27, п.Богатырь, ул.Управленческая</t>
  </si>
  <si>
    <t>diff_511111111111111111111111111</t>
  </si>
  <si>
    <t>Добавить централизованную систему</t>
  </si>
  <si>
    <t>Добавить описание территории</t>
  </si>
  <si>
    <t>diff_5111111111111111111111111111</t>
  </si>
  <si>
    <t>4190067</t>
  </si>
  <si>
    <t>diff_51111111111111111111111111111</t>
  </si>
  <si>
    <t>diff_511111111111111111111111111111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</si>
  <si>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</si>
  <si>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</si>
  <si>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</si>
  <si>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</si>
  <si>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</si>
  <si>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</si>
  <si>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</si>
  <si>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</si>
  <si>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</si>
  <si>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</si>
  <si>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</si>
  <si>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</si>
  <si>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</si>
  <si>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</si>
  <si>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</si>
  <si>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</si>
  <si>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</si>
  <si>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</si>
  <si>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</si>
  <si>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</si>
  <si>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</si>
  <si>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</si>
  <si>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</si>
  <si>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</si>
  <si>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</si>
  <si>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</si>
  <si>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</si>
  <si>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</si>
  <si>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</si>
  <si>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</si>
  <si>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</si>
  <si>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</si>
  <si>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</si>
  <si>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</si>
  <si>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</si>
  <si>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</si>
  <si>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</si>
  <si>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</si>
  <si>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</si>
  <si>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</si>
  <si>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</si>
  <si>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</si>
  <si>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</si>
  <si>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</si>
  <si>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</si>
  <si>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</si>
  <si>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</si>
  <si>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</si>
  <si>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</si>
  <si>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</si>
  <si>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</si>
  <si>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</si>
  <si>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</si>
  <si>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</si>
  <si>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</si>
  <si>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</si>
  <si>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</si>
  <si>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</si>
  <si>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</si>
  <si>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</si>
  <si>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</si>
  <si>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</si>
  <si>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</si>
  <si>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</si>
  <si>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</si>
  <si>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</si>
  <si>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</si>
  <si>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</si>
  <si>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</si>
  <si>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</si>
  <si>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</si>
  <si>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</si>
  <si>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</si>
  <si>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</si>
  <si>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</si>
  <si>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</si>
  <si>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</si>
  <si>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</si>
  <si>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</si>
  <si>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</si>
  <si>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</si>
  <si>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</si>
  <si>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</si>
  <si>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</si>
  <si>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</si>
  <si>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</si>
  <si>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</si>
  <si>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</si>
  <si>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</si>
  <si>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</si>
  <si>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</si>
  <si>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</si>
  <si>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</si>
  <si>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</si>
  <si>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</si>
  <si>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</si>
  <si>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</si>
  <si>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</si>
  <si>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</si>
  <si>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</si>
  <si>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</si>
  <si>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</si>
  <si>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</si>
  <si>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</si>
  <si>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</si>
  <si>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</si>
  <si>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</si>
  <si>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</si>
  <si>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</si>
  <si>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</si>
  <si>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</si>
  <si>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</si>
  <si>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</si>
  <si>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</si>
  <si>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</si>
  <si>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</si>
  <si>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</si>
  <si>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</si>
  <si>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</si>
  <si>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</si>
  <si>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</si>
  <si>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</si>
  <si>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</si>
  <si>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</si>
  <si>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</si>
  <si>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</si>
  <si>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</si>
  <si>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</si>
  <si>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</si>
  <si>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</si>
  <si>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</si>
  <si>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</si>
  <si>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</si>
  <si>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</si>
  <si>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</si>
  <si>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</si>
  <si>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</si>
  <si>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</si>
  <si>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</si>
  <si>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</si>
  <si>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</si>
  <si>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</si>
  <si>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</si>
  <si>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</si>
  <si>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</si>
  <si>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</si>
  <si>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</si>
  <si>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</si>
  <si>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</si>
  <si>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</si>
  <si>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</si>
  <si>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</si>
  <si>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</si>
  <si>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</si>
  <si>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</si>
  <si>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</si>
  <si>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</si>
  <si>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</si>
  <si>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</si>
  <si>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</si>
  <si>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</si>
  <si>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</si>
  <si>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</si>
  <si>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</si>
  <si>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</si>
  <si>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</si>
  <si>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</si>
  <si>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</si>
  <si>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</si>
  <si>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</si>
  <si>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</si>
  <si>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</si>
  <si>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</si>
  <si>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</si>
  <si>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</si>
  <si>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</si>
  <si>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</si>
  <si>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</si>
  <si>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</si>
  <si>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</si>
  <si>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</si>
  <si>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</si>
  <si>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</si>
  <si>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</si>
  <si>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</si>
  <si>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</si>
  <si>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</si>
  <si>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</si>
  <si>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</si>
  <si>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</si>
  <si>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</si>
  <si>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</si>
  <si>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</si>
  <si>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</si>
  <si>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</si>
  <si>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</si>
  <si>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</si>
  <si>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</si>
  <si>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</si>
  <si>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</si>
  <si>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</si>
  <si>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</si>
  <si>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</si>
  <si>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</si>
  <si>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</si>
  <si>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</si>
  <si>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</si>
  <si>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</si>
  <si>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</si>
  <si>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</si>
  <si>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</si>
  <si>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</si>
  <si>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</si>
  <si>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</si>
  <si>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</si>
  <si>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</si>
  <si>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</si>
  <si>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</si>
  <si>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</si>
  <si>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</si>
  <si>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</si>
  <si>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</si>
  <si>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</si>
  <si>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</si>
  <si>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</si>
  <si>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</si>
  <si>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</si>
  <si>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</si>
  <si>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</si>
  <si>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</si>
  <si>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</si>
  <si>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</si>
  <si>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</si>
  <si>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</si>
  <si>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</si>
  <si>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</si>
  <si>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</si>
  <si>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</si>
  <si>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</si>
  <si>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</si>
  <si>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</si>
  <si>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</si>
  <si>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</si>
  <si>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</si>
  <si>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</si>
  <si>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</si>
  <si>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</si>
  <si>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</si>
  <si>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</si>
  <si>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</si>
  <si>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</si>
  <si>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</si>
  <si>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</si>
  <si>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</si>
  <si>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</si>
  <si>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</si>
  <si>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</si>
  <si>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</si>
  <si>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</si>
  <si>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</si>
  <si>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</si>
  <si>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</si>
  <si>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</si>
  <si>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</si>
  <si>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</si>
  <si>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</si>
  <si>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</si>
  <si>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</si>
  <si>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</si>
  <si>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</si>
  <si>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</si>
  <si>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</si>
  <si>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</si>
  <si>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</si>
  <si>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</si>
  <si>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</si>
  <si>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</si>
  <si>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</si>
  <si>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</si>
  <si>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</si>
  <si>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</si>
  <si>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</si>
  <si>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</si>
  <si>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</si>
  <si>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</si>
  <si>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</si>
  <si>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</si>
  <si>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</si>
  <si>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</si>
  <si>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</si>
  <si>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</si>
  <si>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</si>
  <si>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</si>
  <si>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</si>
  <si>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</si>
  <si>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</si>
  <si>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</si>
  <si>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</si>
  <si>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</si>
  <si>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</si>
  <si>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</si>
  <si>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</si>
  <si>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</si>
  <si>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</si>
  <si>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</si>
  <si>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</si>
  <si>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</si>
  <si>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</si>
  <si>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</si>
  <si>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</si>
  <si>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</si>
  <si>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</si>
  <si>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</si>
  <si>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</si>
  <si>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</si>
  <si>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</si>
  <si>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</si>
  <si>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</si>
  <si>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</si>
  <si>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</si>
  <si>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</si>
  <si>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</si>
  <si>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</si>
  <si>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</si>
  <si>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</si>
  <si>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</si>
  <si>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</si>
  <si>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</si>
  <si>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</si>
  <si>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</si>
  <si>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</si>
  <si>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</si>
  <si>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</si>
  <si>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</si>
  <si>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</si>
  <si>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</si>
  <si>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</si>
  <si>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</si>
  <si>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</si>
  <si>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</si>
  <si>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</si>
  <si>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</si>
  <si>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</si>
  <si>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</si>
  <si>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</si>
  <si>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</si>
  <si>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</si>
  <si>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</si>
  <si>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</si>
  <si>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</si>
  <si>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</si>
  <si>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</si>
  <si>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</si>
  <si>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</si>
  <si>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</si>
  <si>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</si>
  <si>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</si>
  <si>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</si>
  <si>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</si>
  <si>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</si>
  <si>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</si>
  <si>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</si>
  <si>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</si>
  <si>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</si>
  <si>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</si>
  <si>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</si>
  <si>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</si>
  <si>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</si>
  <si>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</si>
  <si>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</si>
  <si>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</si>
  <si>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</si>
  <si>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</si>
  <si>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</si>
  <si>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</si>
  <si>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</si>
  <si>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</si>
  <si>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</si>
  <si>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</si>
  <si>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</si>
  <si>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</si>
  <si>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</si>
  <si>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</si>
  <si>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</si>
  <si>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</si>
  <si>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</si>
  <si>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</si>
  <si>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</si>
  <si>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</si>
  <si>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</si>
  <si>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</si>
  <si>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</si>
  <si>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</si>
  <si>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</si>
  <si>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</si>
  <si>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</si>
  <si>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</si>
  <si>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</si>
  <si>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</si>
  <si>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</si>
  <si>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</si>
  <si>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</si>
  <si>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</si>
  <si>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</si>
  <si>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</si>
  <si>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</si>
  <si>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</si>
  <si>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</si>
  <si>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</si>
  <si>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</si>
  <si>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</si>
  <si>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</si>
  <si>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</si>
  <si>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</si>
  <si>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</si>
  <si>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</si>
  <si>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</si>
  <si>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</si>
  <si>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</si>
  <si>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</si>
  <si>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</si>
  <si>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</si>
  <si>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</si>
  <si>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</si>
  <si>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</si>
  <si>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</si>
  <si>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</si>
  <si>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</si>
  <si>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</si>
  <si>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</si>
  <si>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</si>
  <si>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</si>
  <si>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</si>
  <si>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</si>
  <si>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</si>
  <si>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</si>
  <si>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</si>
  <si>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</si>
  <si>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</si>
  <si>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</si>
  <si>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</si>
  <si>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</si>
  <si>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</si>
  <si>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</si>
  <si>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</si>
  <si>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</si>
  <si>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</si>
  <si>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</si>
  <si>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</si>
  <si>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</si>
  <si>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</si>
  <si>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</si>
  <si>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</si>
  <si>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</si>
  <si>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</si>
  <si>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</si>
  <si>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</si>
  <si>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</si>
  <si>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</si>
  <si>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</si>
  <si>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</si>
  <si>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</si>
  <si>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</si>
  <si>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</si>
  <si>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</si>
  <si>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</si>
  <si>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</si>
  <si>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</si>
  <si>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</si>
  <si>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</si>
  <si>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</si>
  <si>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</si>
  <si>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</si>
  <si>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</si>
  <si>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</si>
  <si>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</si>
  <si>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</si>
  <si>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</si>
  <si>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</si>
  <si>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</si>
  <si>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</si>
  <si>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</si>
  <si>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</si>
  <si>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</si>
  <si>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</si>
  <si>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</si>
  <si>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</si>
  <si>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</si>
  <si>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</si>
  <si>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</si>
  <si>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</si>
  <si>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</si>
  <si>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</si>
  <si>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</si>
  <si>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</si>
  <si>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</si>
  <si>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</si>
  <si>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</si>
  <si>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11111111111111</t>
  </si>
  <si>
    <t>111111111111111</t>
  </si>
  <si>
    <t>1111111111111111</t>
  </si>
  <si>
    <t>11111111111111111</t>
  </si>
  <si>
    <t>111111111111111111</t>
  </si>
  <si>
    <t>1111111111111111111</t>
  </si>
  <si>
    <t>11111111111111111111</t>
  </si>
  <si>
    <t>111111111111111111111</t>
  </si>
  <si>
    <t>1111111111111111111111</t>
  </si>
  <si>
    <t>11111111111111111111111</t>
  </si>
  <si>
    <t>111111111111111111111111</t>
  </si>
  <si>
    <t>1111111111111111111111111</t>
  </si>
  <si>
    <t>11111111111111111111111111</t>
  </si>
  <si>
    <t>111111111111111111111111111</t>
  </si>
  <si>
    <t>1111111111111111111111111111</t>
  </si>
  <si>
    <t>11111111111111111111111111111</t>
  </si>
  <si>
    <t>111111111111111111111111111111</t>
  </si>
  <si>
    <t>1111111111111111111111111111111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</si>
  <si>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</si>
  <si>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</si>
  <si>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</si>
  <si>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</si>
  <si>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</si>
  <si>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</si>
  <si>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</si>
  <si>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</si>
  <si>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</si>
  <si>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</si>
  <si>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</si>
  <si>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</si>
  <si>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</si>
  <si>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</si>
  <si>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</si>
  <si>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</si>
  <si>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</si>
  <si>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</si>
  <si>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</si>
  <si>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</si>
  <si>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</si>
  <si>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</si>
  <si>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</si>
  <si>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</si>
  <si>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</si>
  <si>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</si>
  <si>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</si>
  <si>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</si>
  <si>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</si>
  <si>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</si>
  <si>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</si>
  <si>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</si>
  <si>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</si>
  <si>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</si>
  <si>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</si>
  <si>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</si>
  <si>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</si>
  <si>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</si>
  <si>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</si>
  <si>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</si>
  <si>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</si>
  <si>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</si>
  <si>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</si>
  <si>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</si>
  <si>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</si>
  <si>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</si>
  <si>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</si>
  <si>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</si>
  <si>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</si>
  <si>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</si>
  <si>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</si>
  <si>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</si>
  <si>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</si>
  <si>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</si>
  <si>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</si>
  <si>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</si>
  <si>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</si>
  <si>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</si>
  <si>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</si>
  <si>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</si>
  <si>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</si>
  <si>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</si>
  <si>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</si>
  <si>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</si>
  <si>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</si>
  <si>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</si>
  <si>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</si>
  <si>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</si>
  <si>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</si>
  <si>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</si>
  <si>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</si>
  <si>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</si>
  <si>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</si>
  <si>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</si>
  <si>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</si>
  <si>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</si>
  <si>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</si>
  <si>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</si>
  <si>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</si>
  <si>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</si>
  <si>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</si>
  <si>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</si>
  <si>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</si>
  <si>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</si>
  <si>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</si>
  <si>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</si>
  <si>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</si>
  <si>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</si>
  <si>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</si>
  <si>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</si>
  <si>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</si>
  <si>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</si>
  <si>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</si>
  <si>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</si>
  <si>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</si>
  <si>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</si>
  <si>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</si>
  <si>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</si>
  <si>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</si>
  <si>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</si>
  <si>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</si>
  <si>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</si>
  <si>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</si>
  <si>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</si>
  <si>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</si>
  <si>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</si>
  <si>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</si>
  <si>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</si>
  <si>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</si>
  <si>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</si>
  <si>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</si>
  <si>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</si>
  <si>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</si>
  <si>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</si>
  <si>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</si>
  <si>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</si>
  <si>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</si>
  <si>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</si>
  <si>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</si>
  <si>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</si>
  <si>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</si>
  <si>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</si>
  <si>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</si>
  <si>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</si>
  <si>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</si>
  <si>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</si>
  <si>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</si>
  <si>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</si>
  <si>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</si>
  <si>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</si>
  <si>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</si>
  <si>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</si>
  <si>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</si>
  <si>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</si>
  <si>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</si>
  <si>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</si>
  <si>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</si>
  <si>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</si>
  <si>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</si>
  <si>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</si>
  <si>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</si>
  <si>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</si>
  <si>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</si>
  <si>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</si>
  <si>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</si>
  <si>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</si>
  <si>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</si>
  <si>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</si>
  <si>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</si>
  <si>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</si>
  <si>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</si>
  <si>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</si>
  <si>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</si>
  <si>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</si>
  <si>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</si>
  <si>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</si>
  <si>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</si>
  <si>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</si>
  <si>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</si>
  <si>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</si>
  <si>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</si>
  <si>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</si>
  <si>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</si>
  <si>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</si>
  <si>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</si>
  <si>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</si>
  <si>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</si>
  <si>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</si>
  <si>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</si>
  <si>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</si>
  <si>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</si>
  <si>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</si>
  <si>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</si>
  <si>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</si>
  <si>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</si>
  <si>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</si>
  <si>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</si>
  <si>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</si>
  <si>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</si>
  <si>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</si>
  <si>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</si>
  <si>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</si>
  <si>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</si>
  <si>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</si>
  <si>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</si>
  <si>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</si>
  <si>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</si>
  <si>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</si>
  <si>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</si>
  <si>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</si>
  <si>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</si>
  <si>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</si>
  <si>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</si>
  <si>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</si>
  <si>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</si>
  <si>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</si>
  <si>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</si>
  <si>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</si>
  <si>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</si>
  <si>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</si>
  <si>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</si>
  <si>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</si>
  <si>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</si>
  <si>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</si>
  <si>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</si>
  <si>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</si>
  <si>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</si>
  <si>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</si>
  <si>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</si>
  <si>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</si>
  <si>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</si>
  <si>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</si>
  <si>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</si>
  <si>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</si>
  <si>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</si>
  <si>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</si>
  <si>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</si>
  <si>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</si>
  <si>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</si>
  <si>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</si>
  <si>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</si>
  <si>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</si>
  <si>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</si>
  <si>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</si>
  <si>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</si>
  <si>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</si>
  <si>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</si>
  <si>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</si>
  <si>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</si>
  <si>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</si>
  <si>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</si>
  <si>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</si>
  <si>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</si>
  <si>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</si>
  <si>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</si>
  <si>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</si>
  <si>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</si>
  <si>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</si>
  <si>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</si>
  <si>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</si>
  <si>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</si>
  <si>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</si>
  <si>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</si>
  <si>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</si>
  <si>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</si>
  <si>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</si>
  <si>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</si>
  <si>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</si>
  <si>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</si>
  <si>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</si>
  <si>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</si>
  <si>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</si>
  <si>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</si>
  <si>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</si>
  <si>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</si>
  <si>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</si>
  <si>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</si>
  <si>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</si>
  <si>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</si>
  <si>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</si>
  <si>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</si>
  <si>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</si>
  <si>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</si>
  <si>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</si>
  <si>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</si>
  <si>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</si>
  <si>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</si>
  <si>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</si>
  <si>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</si>
  <si>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</si>
  <si>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</si>
  <si>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</si>
  <si>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</si>
  <si>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</si>
  <si>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</si>
  <si>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</si>
  <si>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</si>
  <si>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</si>
  <si>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</si>
  <si>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</si>
  <si>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</si>
  <si>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</si>
  <si>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</si>
  <si>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</si>
  <si>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</si>
  <si>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</si>
  <si>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</si>
  <si>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</si>
  <si>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</si>
  <si>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</si>
  <si>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</si>
  <si>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</si>
  <si>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</si>
  <si>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</si>
  <si>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</si>
  <si>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</si>
  <si>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</si>
  <si>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</si>
  <si>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</si>
  <si>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</si>
  <si>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</si>
  <si>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</si>
  <si>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</si>
  <si>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</si>
  <si>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</si>
  <si>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</si>
  <si>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</si>
  <si>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</si>
  <si>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</si>
  <si>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</si>
  <si>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</si>
  <si>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</si>
  <si>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</si>
  <si>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</si>
  <si>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</si>
  <si>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</si>
  <si>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</si>
  <si>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</si>
  <si>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</si>
  <si>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</si>
  <si>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</si>
  <si>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</si>
  <si>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</si>
  <si>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</si>
  <si>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</si>
  <si>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</si>
  <si>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</si>
  <si>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</si>
  <si>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</si>
  <si>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</si>
  <si>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</si>
  <si>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</si>
  <si>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</si>
  <si>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</si>
  <si>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</si>
  <si>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</si>
  <si>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</si>
  <si>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</si>
  <si>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</si>
  <si>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</si>
  <si>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</si>
  <si>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</si>
  <si>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</si>
  <si>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</si>
  <si>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</si>
  <si>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</si>
  <si>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</si>
  <si>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</si>
  <si>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</si>
  <si>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</si>
  <si>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</si>
  <si>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</si>
  <si>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</si>
  <si>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</si>
  <si>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</si>
  <si>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</si>
  <si>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</si>
  <si>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</si>
  <si>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</si>
  <si>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</si>
  <si>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</si>
  <si>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</si>
  <si>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</si>
  <si>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</si>
  <si>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</si>
  <si>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</si>
  <si>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</si>
  <si>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</si>
  <si>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</si>
  <si>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</si>
  <si>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</si>
  <si>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</si>
  <si>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</si>
  <si>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</si>
  <si>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</si>
  <si>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</si>
  <si>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</si>
  <si>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</si>
  <si>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</si>
  <si>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</si>
  <si>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</si>
  <si>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</si>
  <si>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</si>
  <si>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</si>
  <si>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</si>
  <si>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</si>
  <si>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</si>
  <si>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</si>
  <si>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</si>
  <si>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</si>
  <si>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</si>
  <si>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</si>
  <si>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</si>
  <si>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</si>
  <si>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</si>
  <si>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</si>
  <si>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</si>
  <si>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</si>
  <si>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</si>
  <si>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</si>
  <si>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</si>
  <si>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</si>
  <si>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</si>
  <si>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</si>
  <si>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</si>
  <si>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</si>
  <si>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</si>
  <si>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</si>
  <si>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</si>
  <si>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</si>
  <si>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</si>
  <si>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</si>
  <si>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</si>
  <si>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</si>
  <si>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</si>
  <si>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</si>
  <si>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</si>
  <si>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</si>
  <si>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</si>
  <si>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</si>
  <si>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</si>
  <si>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</si>
  <si>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</si>
  <si>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</si>
  <si>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</si>
  <si>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</si>
  <si>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</si>
  <si>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</si>
  <si>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</si>
  <si>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</si>
  <si>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</si>
  <si>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</si>
  <si>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</si>
  <si>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</si>
  <si>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</si>
  <si>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</si>
  <si>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</si>
  <si>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</si>
  <si>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</si>
  <si>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</si>
  <si>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</si>
  <si>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</si>
  <si>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</si>
  <si>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</si>
  <si>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</si>
  <si>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</si>
  <si>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</si>
  <si>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</si>
  <si>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</si>
  <si>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</si>
  <si>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</si>
  <si>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</si>
  <si>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</si>
  <si>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</si>
  <si>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</si>
  <si>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</si>
  <si>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</si>
  <si>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</si>
  <si>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</si>
  <si>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</si>
  <si>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</si>
  <si>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</si>
  <si>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</si>
  <si>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</si>
  <si>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</si>
  <si>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</si>
  <si>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</si>
  <si>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</si>
  <si>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</si>
  <si>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</si>
  <si>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</si>
  <si>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</si>
  <si>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</si>
  <si>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</si>
  <si>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</si>
  <si>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</si>
  <si>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</si>
  <si>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</si>
  <si>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</si>
  <si>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</si>
  <si>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</si>
  <si>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</si>
  <si>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</si>
  <si>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</si>
  <si>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</si>
  <si>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</si>
  <si>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</si>
  <si>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</si>
  <si>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</si>
  <si>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</si>
  <si>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</si>
  <si>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</si>
  <si>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</si>
  <si>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</si>
  <si>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</si>
  <si>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</si>
  <si>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</si>
  <si>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</si>
  <si>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</si>
  <si>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</si>
  <si>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</si>
  <si>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366,03</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</si>
  <si>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</si>
  <si>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</si>
  <si>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</si>
  <si>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</si>
  <si>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</si>
  <si>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</si>
  <si>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</si>
  <si>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</si>
  <si>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</si>
  <si>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</si>
  <si>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</si>
  <si>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</si>
  <si>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</si>
  <si>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</si>
  <si>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</si>
  <si>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</si>
  <si>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</si>
  <si>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</si>
  <si>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</si>
  <si>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</si>
  <si>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</si>
  <si>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</si>
  <si>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</si>
  <si>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</si>
  <si>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</si>
  <si>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</si>
  <si>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</si>
  <si>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</si>
  <si>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</si>
  <si>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</si>
  <si>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</si>
  <si>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</si>
  <si>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</si>
  <si>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</si>
  <si>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</si>
  <si>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</si>
  <si>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</si>
  <si>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</si>
  <si>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</si>
  <si>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</si>
  <si>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</si>
  <si>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</si>
  <si>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</si>
  <si>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</si>
  <si>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</si>
  <si>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</si>
  <si>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</si>
  <si>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</si>
  <si>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</si>
  <si>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</si>
  <si>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</si>
  <si>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</si>
  <si>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</si>
  <si>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</si>
  <si>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</si>
  <si>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</si>
  <si>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</si>
  <si>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</si>
  <si>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</si>
  <si>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</si>
  <si>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</si>
  <si>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</si>
  <si>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</si>
  <si>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</si>
  <si>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</si>
  <si>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</si>
  <si>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</si>
  <si>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</si>
  <si>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</si>
  <si>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</si>
  <si>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</si>
  <si>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</si>
  <si>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</si>
  <si>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</si>
  <si>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</si>
  <si>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</si>
  <si>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</si>
  <si>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</si>
  <si>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</si>
  <si>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</si>
  <si>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</si>
  <si>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</si>
  <si>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</si>
  <si>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</si>
  <si>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</si>
  <si>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</si>
  <si>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</si>
  <si>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</si>
  <si>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</si>
  <si>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</si>
  <si>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</si>
  <si>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</si>
  <si>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</si>
  <si>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</si>
  <si>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</si>
  <si>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</si>
  <si>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</si>
  <si>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</si>
  <si>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</si>
  <si>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</si>
  <si>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</si>
  <si>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</si>
  <si>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</si>
  <si>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</si>
  <si>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</si>
  <si>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</si>
  <si>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</si>
  <si>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</si>
  <si>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</si>
  <si>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</si>
  <si>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</si>
  <si>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</si>
  <si>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</si>
  <si>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</si>
  <si>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</si>
  <si>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</si>
  <si>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</si>
  <si>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</si>
  <si>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</si>
  <si>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</si>
  <si>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</si>
  <si>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</si>
  <si>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</si>
  <si>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</si>
  <si>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</si>
  <si>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</si>
  <si>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</si>
  <si>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</si>
  <si>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</si>
  <si>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</si>
  <si>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</si>
  <si>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</si>
  <si>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</si>
  <si>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</si>
  <si>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</si>
  <si>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</si>
  <si>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</si>
  <si>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</si>
  <si>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</si>
  <si>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</si>
  <si>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</si>
  <si>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</si>
  <si>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</si>
  <si>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</si>
  <si>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</si>
  <si>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</si>
  <si>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</si>
  <si>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</si>
  <si>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</si>
  <si>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</si>
  <si>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</si>
  <si>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</si>
  <si>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</si>
  <si>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</si>
  <si>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</si>
  <si>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</si>
  <si>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</si>
  <si>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</si>
  <si>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</si>
  <si>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</si>
  <si>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</si>
  <si>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</si>
  <si>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</si>
  <si>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</si>
  <si>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</si>
  <si>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</si>
  <si>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</si>
  <si>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</si>
  <si>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</si>
  <si>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</si>
  <si>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</si>
  <si>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</si>
  <si>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</si>
  <si>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</si>
  <si>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</si>
  <si>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</si>
  <si>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</si>
  <si>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</si>
  <si>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</si>
  <si>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</si>
  <si>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</si>
  <si>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</si>
  <si>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</si>
  <si>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</si>
  <si>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</si>
  <si>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</si>
  <si>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</si>
  <si>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</si>
  <si>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</si>
  <si>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</si>
  <si>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</si>
  <si>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</si>
  <si>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</si>
  <si>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</si>
  <si>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</si>
  <si>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</si>
  <si>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</si>
  <si>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</si>
  <si>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</si>
  <si>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</si>
  <si>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</si>
  <si>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</si>
  <si>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</si>
  <si>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</si>
  <si>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</si>
  <si>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</si>
  <si>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</si>
  <si>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</si>
  <si>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</si>
  <si>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</si>
  <si>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</si>
  <si>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</si>
  <si>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</si>
  <si>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</si>
  <si>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</si>
  <si>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</si>
  <si>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</si>
  <si>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</si>
  <si>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</si>
  <si>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</si>
  <si>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</si>
  <si>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</si>
  <si>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</si>
  <si>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</si>
  <si>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</si>
  <si>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</si>
  <si>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</si>
  <si>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</si>
  <si>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</si>
  <si>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</si>
  <si>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</si>
  <si>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</si>
  <si>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</si>
  <si>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</si>
  <si>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</si>
  <si>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</si>
  <si>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</si>
  <si>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</si>
  <si>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</si>
  <si>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</si>
  <si>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</si>
  <si>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</si>
  <si>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</si>
  <si>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</si>
  <si>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</si>
  <si>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</si>
  <si>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</si>
  <si>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</si>
  <si>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</si>
  <si>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</si>
  <si>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</si>
  <si>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</si>
  <si>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</si>
  <si>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</si>
  <si>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</si>
  <si>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</si>
  <si>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</si>
  <si>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</si>
  <si>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</si>
  <si>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</si>
  <si>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</si>
  <si>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</si>
  <si>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</si>
  <si>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</si>
  <si>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</si>
  <si>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</si>
  <si>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</si>
  <si>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</si>
  <si>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</si>
  <si>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</si>
  <si>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</si>
  <si>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</si>
  <si>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</si>
  <si>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</si>
  <si>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</si>
  <si>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</si>
  <si>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</si>
  <si>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</si>
  <si>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</si>
  <si>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</si>
  <si>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</si>
  <si>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</si>
  <si>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</si>
  <si>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</si>
  <si>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</si>
  <si>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</si>
  <si>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</si>
  <si>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</si>
  <si>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</si>
  <si>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</si>
  <si>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</si>
  <si>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</si>
  <si>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</si>
  <si>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</si>
  <si>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</si>
  <si>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</si>
  <si>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</si>
  <si>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</si>
  <si>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</si>
  <si>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</si>
  <si>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</si>
  <si>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</si>
  <si>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</si>
  <si>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</si>
  <si>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</si>
  <si>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</si>
  <si>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</si>
  <si>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</si>
  <si>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</si>
  <si>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</si>
  <si>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</si>
  <si>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</si>
  <si>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</si>
  <si>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</si>
  <si>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</si>
  <si>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</si>
  <si>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</si>
  <si>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</si>
  <si>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</si>
  <si>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</si>
  <si>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</si>
  <si>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</si>
  <si>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</si>
  <si>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</si>
  <si>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</si>
  <si>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</si>
  <si>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</si>
  <si>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</si>
  <si>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</si>
  <si>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</si>
  <si>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</si>
  <si>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</si>
  <si>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</si>
  <si>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</si>
  <si>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</si>
  <si>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</si>
  <si>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</si>
  <si>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</si>
  <si>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</si>
  <si>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</si>
  <si>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</si>
  <si>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</si>
  <si>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</si>
  <si>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</si>
  <si>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</si>
  <si>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</si>
  <si>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</si>
  <si>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</si>
  <si>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</si>
  <si>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</si>
  <si>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</si>
  <si>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</si>
  <si>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</si>
  <si>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</si>
  <si>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</si>
  <si>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</si>
  <si>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</si>
  <si>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</si>
  <si>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</si>
  <si>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</si>
  <si>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</si>
  <si>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</si>
  <si>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</si>
  <si>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</si>
  <si>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</si>
  <si>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</si>
  <si>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</si>
  <si>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</si>
  <si>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</si>
  <si>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</si>
  <si>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</si>
  <si>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</si>
  <si>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</si>
  <si>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</si>
  <si>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</si>
  <si>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</si>
  <si>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</si>
  <si>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</si>
  <si>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</si>
  <si>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</si>
  <si>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</si>
  <si>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</si>
  <si>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</si>
  <si>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</si>
  <si>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</si>
  <si>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</si>
  <si>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</si>
  <si>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</si>
  <si>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</si>
  <si>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</si>
  <si>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</si>
  <si>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</si>
  <si>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</si>
  <si>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</si>
  <si>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</si>
  <si>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</si>
  <si>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</si>
  <si>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</si>
  <si>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</si>
  <si>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</si>
  <si>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</si>
  <si>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</si>
  <si>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</si>
  <si>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</si>
  <si>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</si>
  <si>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</si>
  <si>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</si>
  <si>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</si>
  <si>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</si>
  <si>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</si>
  <si>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</si>
  <si>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</si>
  <si>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</si>
  <si>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</si>
  <si>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</si>
  <si>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</si>
  <si>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</si>
  <si>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</si>
  <si>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</si>
  <si>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</si>
  <si>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</si>
  <si>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</si>
  <si>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</si>
  <si>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</si>
  <si>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</si>
  <si>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</si>
  <si>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электроэнергия (СН2)</t>
  </si>
  <si>
    <t>Сбыт. Теплоноситель</t>
  </si>
  <si>
    <t>Кемеровская область</t>
  </si>
  <si>
    <t>электроэнергия (ВН)</t>
  </si>
  <si>
    <t>Подключение (технологическое присоединение) к системе теплоснабжения</t>
  </si>
  <si>
    <t>Кировская область</t>
  </si>
  <si>
    <t>Текущая дата</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</si>
  <si>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</si>
  <si>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</si>
  <si>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</si>
  <si>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</si>
  <si>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</si>
  <si>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</si>
  <si>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</si>
  <si>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</si>
  <si>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</si>
  <si>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</si>
  <si>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</si>
  <si>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</si>
  <si>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</si>
  <si>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</si>
  <si>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</si>
  <si>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</si>
  <si>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</si>
  <si>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</si>
  <si>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</si>
  <si>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</si>
  <si>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</si>
  <si>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</si>
  <si>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</si>
  <si>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</si>
  <si>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</si>
  <si>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</si>
  <si>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</si>
  <si>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</si>
  <si>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</si>
  <si>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</si>
  <si>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</si>
  <si>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</si>
  <si>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</si>
  <si>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</si>
  <si>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</si>
  <si>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</si>
  <si>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</si>
  <si>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</si>
  <si>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</si>
  <si>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</si>
  <si>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</si>
  <si>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</si>
  <si>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</si>
  <si>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</si>
  <si>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</si>
  <si>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</si>
  <si>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</si>
  <si>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</si>
  <si>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</si>
  <si>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</si>
  <si>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</si>
  <si>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</si>
  <si>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</si>
  <si>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</si>
  <si>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</si>
  <si>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</si>
  <si>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</si>
  <si>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</si>
  <si>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</si>
  <si>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</si>
  <si>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</si>
  <si>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</si>
  <si>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</si>
  <si>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</si>
  <si>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</si>
  <si>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</si>
  <si>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</si>
  <si>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</si>
  <si>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</si>
  <si>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</si>
  <si>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</si>
  <si>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</si>
  <si>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</si>
  <si>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</si>
  <si>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</si>
  <si>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</si>
  <si>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</si>
  <si>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</si>
  <si>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</si>
  <si>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</si>
  <si>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</si>
  <si>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</si>
  <si>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</si>
  <si>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</si>
  <si>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</si>
  <si>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</si>
  <si>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</si>
  <si>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</si>
  <si>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</si>
  <si>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</si>
  <si>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</si>
  <si>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</si>
  <si>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</si>
  <si>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</si>
  <si>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</si>
  <si>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</si>
  <si>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</si>
  <si>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</si>
  <si>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</si>
  <si>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</si>
  <si>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</si>
  <si>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</si>
  <si>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</si>
  <si>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</si>
  <si>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</si>
  <si>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</si>
  <si>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</si>
  <si>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</si>
  <si>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</si>
  <si>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</si>
  <si>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</si>
  <si>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</si>
  <si>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</si>
  <si>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</si>
  <si>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</si>
  <si>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</si>
  <si>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</si>
  <si>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</si>
  <si>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</si>
  <si>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</si>
  <si>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</si>
  <si>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</si>
  <si>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</si>
  <si>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</si>
  <si>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</si>
  <si>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51111111111111111111111111111111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</si>
  <si>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</si>
  <si>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</si>
  <si>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</si>
  <si>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</si>
  <si>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</si>
  <si>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</si>
  <si>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</si>
  <si>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</si>
  <si>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</si>
  <si>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</si>
  <si>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</si>
  <si>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</si>
  <si>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</si>
  <si>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</si>
  <si>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</si>
  <si>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</si>
  <si>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</si>
  <si>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</si>
  <si>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</si>
  <si>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</si>
  <si>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</si>
  <si>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</si>
  <si>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</si>
  <si>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</si>
  <si>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</si>
  <si>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</si>
  <si>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</si>
  <si>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</si>
  <si>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</si>
  <si>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</si>
  <si>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</si>
  <si>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</si>
  <si>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</si>
  <si>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</si>
  <si>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</si>
  <si>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</si>
  <si>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</si>
  <si>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</si>
  <si>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</si>
  <si>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</si>
  <si>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</si>
  <si>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</si>
  <si>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</si>
  <si>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</si>
  <si>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</si>
  <si>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</si>
  <si>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</si>
  <si>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</si>
  <si>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</si>
  <si>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</si>
  <si>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</si>
  <si>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</si>
  <si>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</si>
  <si>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</si>
  <si>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</si>
  <si>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</si>
  <si>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</si>
  <si>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</si>
  <si>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</si>
  <si>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</si>
  <si>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</si>
  <si>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</si>
  <si>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</si>
  <si>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</si>
  <si>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</si>
  <si>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</si>
  <si>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</si>
  <si>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</si>
  <si>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</si>
  <si>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</si>
  <si>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</si>
  <si>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</si>
  <si>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</si>
  <si>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</si>
  <si>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</si>
  <si>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</si>
  <si>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</si>
  <si>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</si>
  <si>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</si>
  <si>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</si>
  <si>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</si>
  <si>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</si>
  <si>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</si>
  <si>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</si>
  <si>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</si>
  <si>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</si>
  <si>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</si>
  <si>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</si>
  <si>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</si>
  <si>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</si>
  <si>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</si>
  <si>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</si>
  <si>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</si>
  <si>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</si>
  <si>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</si>
  <si>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</si>
  <si>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</si>
  <si>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</si>
  <si>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</si>
  <si>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</si>
  <si>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</si>
  <si>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</si>
  <si>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</si>
  <si>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</si>
  <si>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</si>
  <si>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</si>
  <si>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</si>
  <si>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</si>
  <si>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</si>
  <si>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</si>
  <si>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</si>
  <si>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</si>
  <si>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</si>
  <si>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</si>
  <si>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</si>
  <si>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</si>
  <si>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</si>
  <si>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</si>
  <si>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</si>
  <si>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</si>
  <si>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</si>
  <si>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</si>
  <si>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</si>
  <si>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</si>
  <si>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</si>
  <si>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</si>
  <si>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</si>
  <si>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</si>
  <si>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</si>
  <si>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</si>
  <si>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</si>
  <si>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</si>
  <si>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</si>
  <si>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</si>
  <si>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</si>
  <si>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</si>
  <si>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</si>
  <si>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</si>
  <si>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</si>
  <si>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</si>
  <si>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</si>
  <si>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</si>
  <si>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</si>
  <si>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</si>
  <si>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</si>
  <si>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</si>
  <si>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</si>
  <si>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</si>
  <si>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</si>
  <si>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</si>
  <si>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</si>
  <si>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</si>
  <si>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</si>
  <si>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</si>
  <si>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</si>
  <si>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</si>
  <si>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</si>
  <si>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</si>
  <si>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</si>
  <si>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</si>
  <si>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</si>
  <si>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</si>
  <si>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</si>
  <si>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</si>
  <si>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</si>
  <si>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</si>
  <si>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</si>
  <si>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</si>
  <si>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</si>
  <si>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</si>
  <si>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</si>
  <si>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</si>
  <si>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</si>
  <si>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</si>
  <si>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</si>
  <si>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</si>
  <si>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</si>
  <si>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</si>
  <si>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</si>
  <si>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</si>
  <si>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</si>
  <si>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</si>
  <si>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</si>
  <si>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</si>
  <si>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</si>
  <si>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</si>
  <si>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</si>
  <si>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</si>
  <si>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</si>
  <si>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</si>
  <si>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</si>
  <si>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</si>
  <si>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</si>
  <si>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</si>
  <si>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</si>
  <si>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</si>
  <si>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</si>
  <si>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</si>
  <si>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</si>
  <si>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</si>
  <si>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</si>
  <si>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</si>
  <si>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</si>
  <si>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</si>
  <si>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</si>
  <si>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</si>
  <si>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</si>
  <si>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</si>
  <si>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</si>
  <si>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По котельным № 13 , 14, 25  в том числе раскрывается информация в части горячего водоснабжения в открытой системе водоразбора.</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</si>
  <si>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</si>
  <si>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</si>
  <si>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</si>
  <si>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</si>
  <si>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</si>
  <si>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</si>
  <si>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</si>
  <si>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</si>
  <si>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</si>
  <si>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</si>
  <si>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</si>
  <si>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</si>
  <si>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</si>
  <si>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</si>
  <si>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</si>
  <si>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</si>
  <si>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</si>
  <si>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</si>
  <si>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</si>
  <si>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</si>
  <si>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</si>
  <si>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</si>
  <si>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</si>
  <si>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</si>
  <si>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</si>
  <si>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</si>
  <si>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</si>
  <si>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</si>
  <si>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</si>
  <si>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</si>
  <si>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</si>
  <si>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</si>
  <si>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</si>
  <si>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</si>
  <si>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</si>
  <si>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</si>
  <si>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</si>
  <si>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</si>
  <si>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</si>
  <si>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</si>
  <si>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</si>
  <si>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</si>
  <si>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</si>
  <si>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</si>
  <si>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</si>
  <si>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</si>
  <si>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</si>
  <si>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</si>
  <si>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</si>
  <si>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</si>
  <si>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</si>
  <si>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</si>
  <si>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</si>
  <si>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</si>
  <si>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</si>
  <si>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</si>
  <si>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</si>
  <si>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</si>
  <si>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</si>
  <si>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</si>
  <si>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</si>
  <si>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</si>
  <si>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</si>
  <si>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</si>
  <si>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</si>
  <si>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</si>
  <si>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</si>
  <si>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</si>
  <si>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</si>
  <si>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</si>
  <si>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</si>
  <si>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</si>
  <si>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</si>
  <si>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</si>
  <si>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</si>
  <si>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</si>
  <si>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</si>
  <si>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</si>
  <si>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</si>
  <si>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</si>
  <si>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</si>
  <si>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</si>
  <si>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</si>
  <si>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</si>
  <si>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</si>
  <si>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</si>
  <si>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</si>
  <si>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</si>
  <si>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</si>
  <si>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</si>
  <si>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</si>
  <si>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</si>
  <si>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</si>
  <si>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</si>
  <si>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</si>
  <si>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</si>
  <si>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</si>
  <si>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</si>
  <si>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</si>
  <si>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</si>
  <si>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</si>
  <si>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</si>
  <si>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</si>
  <si>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</si>
  <si>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</si>
  <si>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</si>
  <si>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</si>
  <si>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</si>
  <si>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</si>
  <si>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</si>
  <si>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</si>
  <si>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</si>
  <si>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</si>
  <si>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</si>
  <si>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</si>
  <si>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</si>
  <si>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</si>
  <si>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</si>
  <si>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</si>
  <si>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</si>
  <si>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</si>
  <si>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</si>
  <si>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</si>
  <si>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</si>
  <si>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</si>
  <si>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</si>
  <si>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</si>
  <si>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</si>
  <si>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</si>
  <si>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</si>
  <si>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</si>
  <si>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</si>
  <si>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</si>
  <si>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</si>
  <si>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</si>
  <si>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</si>
  <si>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</si>
  <si>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</si>
  <si>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</si>
  <si>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</si>
  <si>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</si>
  <si>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</si>
  <si>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</si>
  <si>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</si>
  <si>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</si>
  <si>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</si>
  <si>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</si>
  <si>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</si>
  <si>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</si>
  <si>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</si>
  <si>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</si>
  <si>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</si>
  <si>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</si>
  <si>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</si>
  <si>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</si>
  <si>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</si>
  <si>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</si>
  <si>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</si>
  <si>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</si>
  <si>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</si>
  <si>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</si>
  <si>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</si>
  <si>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</si>
  <si>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</si>
  <si>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</si>
  <si>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</si>
  <si>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</si>
  <si>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</si>
  <si>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</si>
  <si>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</si>
  <si>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</si>
  <si>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</si>
  <si>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</si>
  <si>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</si>
  <si>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</si>
  <si>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</si>
  <si>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</si>
  <si>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</si>
  <si>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</si>
  <si>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</si>
  <si>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</si>
  <si>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</si>
  <si>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</si>
  <si>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</si>
  <si>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</si>
  <si>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</si>
  <si>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</si>
  <si>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</si>
  <si>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</si>
  <si>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</si>
  <si>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</si>
  <si>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</si>
  <si>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</si>
  <si>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</si>
  <si>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</si>
  <si>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</si>
  <si>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</si>
  <si>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</si>
  <si>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</si>
  <si>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</si>
  <si>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</si>
  <si>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</si>
  <si>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</si>
  <si>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</si>
  <si>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</si>
  <si>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</si>
  <si>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</si>
  <si>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</si>
  <si>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</si>
  <si>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</si>
  <si>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</si>
  <si>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</si>
  <si>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</si>
  <si>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</si>
  <si>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</si>
  <si>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</si>
  <si>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</si>
  <si>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</si>
  <si>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</si>
  <si>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</si>
  <si>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</si>
  <si>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</si>
  <si>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</si>
  <si>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</si>
  <si>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</si>
  <si>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</si>
  <si>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</si>
  <si>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</si>
  <si>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</si>
  <si>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</si>
  <si>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</si>
  <si>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</si>
  <si>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</si>
  <si>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</si>
  <si>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</si>
  <si>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</si>
  <si>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</si>
  <si>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</si>
  <si>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</si>
  <si>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</si>
  <si>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</si>
  <si>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</si>
  <si>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</si>
  <si>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</si>
  <si>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</si>
  <si>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</si>
  <si>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</si>
  <si>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</si>
  <si>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</si>
  <si>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</si>
  <si>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</si>
  <si>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</si>
  <si>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</si>
  <si>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</si>
  <si>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</si>
  <si>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</si>
  <si>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</si>
  <si>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</si>
  <si>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</si>
  <si>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</si>
  <si>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</si>
  <si>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</si>
  <si>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</si>
  <si>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</si>
  <si>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</si>
  <si>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</si>
  <si>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</si>
  <si>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</si>
  <si>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</si>
  <si>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</si>
  <si>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</si>
  <si>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</si>
  <si>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</si>
  <si>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</si>
  <si>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</si>
  <si>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</si>
  <si>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</si>
  <si>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</si>
  <si>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</si>
  <si>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</si>
  <si>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</si>
  <si>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</si>
  <si>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</si>
  <si>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</si>
  <si>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</si>
  <si>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</si>
  <si>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</si>
  <si>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</si>
  <si>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</si>
  <si>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</si>
  <si>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</si>
  <si>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</si>
  <si>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</si>
  <si>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</si>
  <si>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</si>
  <si>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</si>
  <si>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</si>
  <si>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</si>
  <si>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</si>
  <si>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</si>
  <si>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</si>
  <si>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</si>
  <si>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</si>
  <si>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</si>
  <si>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</si>
  <si>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</si>
  <si>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</si>
  <si>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</si>
  <si>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</si>
  <si>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</si>
  <si>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</si>
  <si>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</si>
  <si>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</si>
  <si>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</si>
  <si>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</si>
  <si>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</si>
  <si>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</si>
  <si>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</si>
  <si>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</si>
  <si>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</si>
  <si>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</si>
  <si>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</si>
  <si>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</si>
  <si>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</si>
  <si>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</si>
  <si>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</si>
  <si>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</si>
  <si>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</si>
  <si>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</si>
  <si>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</si>
  <si>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</si>
  <si>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</si>
  <si>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</si>
  <si>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</si>
  <si>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</si>
  <si>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</si>
  <si>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</si>
  <si>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</si>
  <si>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</si>
  <si>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</si>
  <si>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</si>
  <si>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</si>
  <si>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</si>
  <si>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</si>
  <si>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</si>
  <si>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</si>
  <si>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</si>
  <si>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</si>
  <si>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</si>
  <si>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</si>
  <si>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</si>
  <si>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</si>
  <si>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</si>
  <si>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</si>
  <si>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</si>
  <si>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</si>
  <si>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</si>
  <si>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</si>
  <si>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</si>
  <si>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</si>
  <si>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</si>
  <si>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</si>
  <si>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</si>
  <si>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</si>
  <si>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</si>
  <si>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</si>
  <si>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</si>
  <si>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</si>
  <si>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</si>
  <si>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</si>
  <si>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</si>
  <si>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</si>
  <si>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</si>
  <si>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</si>
  <si>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</si>
  <si>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</si>
  <si>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</si>
  <si>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</si>
  <si>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</si>
  <si>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</si>
  <si>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</si>
  <si>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</si>
  <si>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</si>
  <si>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</si>
  <si>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</si>
  <si>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</si>
  <si>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</si>
  <si>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</si>
  <si>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</si>
  <si>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</si>
  <si>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</si>
  <si>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</si>
  <si>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</si>
  <si>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</si>
  <si>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</si>
  <si>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</si>
  <si>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</si>
  <si>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</si>
  <si>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</si>
  <si>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</si>
  <si>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</si>
  <si>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</si>
  <si>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</si>
  <si>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</si>
  <si>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</si>
  <si>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</si>
  <si>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</si>
  <si>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</si>
  <si>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</si>
  <si>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</si>
  <si>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</si>
  <si>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</si>
  <si>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</si>
  <si>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631201001</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</si>
  <si>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</si>
  <si>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</si>
  <si>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</si>
  <si>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</si>
  <si>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</si>
  <si>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</si>
  <si>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</si>
  <si>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</si>
  <si>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</si>
  <si>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</si>
  <si>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</si>
  <si>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</si>
  <si>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</si>
  <si>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</si>
  <si>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</si>
  <si>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</si>
  <si>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</si>
  <si>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</si>
  <si>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</si>
  <si>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</si>
  <si>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</si>
  <si>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</si>
  <si>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</si>
  <si>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</si>
  <si>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</si>
  <si>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</si>
  <si>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</si>
  <si>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</si>
  <si>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</si>
  <si>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</si>
  <si>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</si>
  <si>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</si>
  <si>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</si>
  <si>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</si>
  <si>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</si>
  <si>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</si>
  <si>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</si>
  <si>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</si>
  <si>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</si>
  <si>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</si>
  <si>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</si>
  <si>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</si>
  <si>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</si>
  <si>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</si>
  <si>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</si>
  <si>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</si>
  <si>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</si>
  <si>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</si>
  <si>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</si>
  <si>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</si>
  <si>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</si>
  <si>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</si>
  <si>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</si>
  <si>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</si>
  <si>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</si>
  <si>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</si>
  <si>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</si>
  <si>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</si>
  <si>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</si>
  <si>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</si>
  <si>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</si>
  <si>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</si>
  <si>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</si>
  <si>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</si>
  <si>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</si>
  <si>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</si>
  <si>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</si>
  <si>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</si>
  <si>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</si>
  <si>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</si>
  <si>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</si>
  <si>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</si>
  <si>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</si>
  <si>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</si>
  <si>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</si>
  <si>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</si>
  <si>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</si>
  <si>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</si>
  <si>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</si>
  <si>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</si>
  <si>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</si>
  <si>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</si>
  <si>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</si>
  <si>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</si>
  <si>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</si>
  <si>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</si>
  <si>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</si>
  <si>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</si>
  <si>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</si>
  <si>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</si>
  <si>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</si>
  <si>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</si>
  <si>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</si>
  <si>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</si>
  <si>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</si>
  <si>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</si>
  <si>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</si>
  <si>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</si>
  <si>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</si>
  <si>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</si>
  <si>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</si>
  <si>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</si>
  <si>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</si>
  <si>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</si>
  <si>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</si>
  <si>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</si>
  <si>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</si>
  <si>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</si>
  <si>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</si>
  <si>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</si>
  <si>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</si>
  <si>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</si>
  <si>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</si>
  <si>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</si>
  <si>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</si>
  <si>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</si>
  <si>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</si>
  <si>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</si>
  <si>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</si>
  <si>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</si>
  <si>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</si>
  <si>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</si>
  <si>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</si>
  <si>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</si>
  <si>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</si>
  <si>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</si>
  <si>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</si>
  <si>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</si>
  <si>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</si>
  <si>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</si>
  <si>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</si>
  <si>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</si>
  <si>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</si>
  <si>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</si>
  <si>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</si>
  <si>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</si>
  <si>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</si>
  <si>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</si>
  <si>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</si>
  <si>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</si>
  <si>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</si>
  <si>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</si>
  <si>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</si>
  <si>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</si>
  <si>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</si>
  <si>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</si>
  <si>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</si>
  <si>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</si>
  <si>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</si>
  <si>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</si>
  <si>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</si>
  <si>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</si>
  <si>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</si>
  <si>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</si>
  <si>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</si>
  <si>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</si>
  <si>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</si>
  <si>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</si>
  <si>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</si>
  <si>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</si>
  <si>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</si>
  <si>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</si>
  <si>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</si>
  <si>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</si>
  <si>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</si>
  <si>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</si>
  <si>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</si>
  <si>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</si>
  <si>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</si>
  <si>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</si>
  <si>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</si>
  <si>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</si>
  <si>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</si>
  <si>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</si>
  <si>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</si>
  <si>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</si>
  <si>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</si>
  <si>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</si>
  <si>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</si>
  <si>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</si>
  <si>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</si>
  <si>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</si>
  <si>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</si>
  <si>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</si>
  <si>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</si>
  <si>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</si>
  <si>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</si>
  <si>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</si>
  <si>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</si>
  <si>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</si>
  <si>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</si>
  <si>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</si>
  <si>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</si>
  <si>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</si>
  <si>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</si>
  <si>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</si>
  <si>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</si>
  <si>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</si>
  <si>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</si>
  <si>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</si>
  <si>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</si>
  <si>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</si>
  <si>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</si>
  <si>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</si>
  <si>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</si>
  <si>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</si>
  <si>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</si>
  <si>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</si>
  <si>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</si>
  <si>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</si>
  <si>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</si>
  <si>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</si>
  <si>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</si>
  <si>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</si>
  <si>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</si>
  <si>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</si>
  <si>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</si>
  <si>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</si>
  <si>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</si>
  <si>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</si>
  <si>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</si>
  <si>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</si>
  <si>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</si>
  <si>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</si>
  <si>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</si>
  <si>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</si>
  <si>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</si>
  <si>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</si>
  <si>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</si>
  <si>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</si>
  <si>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</si>
  <si>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</si>
  <si>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</si>
  <si>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</si>
  <si>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</si>
  <si>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</si>
  <si>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</si>
  <si>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</si>
  <si>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</si>
  <si>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</si>
  <si>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</si>
  <si>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</si>
  <si>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</si>
  <si>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</si>
  <si>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</si>
  <si>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</si>
  <si>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</si>
  <si>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</si>
  <si>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</si>
  <si>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</si>
  <si>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</si>
  <si>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</si>
  <si>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</si>
  <si>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</si>
  <si>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</si>
  <si>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</si>
  <si>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</si>
  <si>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</si>
  <si>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</si>
  <si>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</si>
  <si>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</si>
  <si>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</si>
  <si>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</si>
  <si>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</si>
  <si>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</si>
  <si>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</si>
  <si>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</si>
  <si>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</si>
  <si>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</si>
  <si>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</si>
  <si>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</si>
  <si>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</si>
  <si>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</si>
  <si>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</si>
  <si>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</si>
  <si>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</si>
  <si>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</si>
  <si>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</si>
  <si>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</si>
  <si>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</si>
  <si>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</si>
  <si>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</si>
  <si>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</si>
  <si>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</si>
  <si>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</si>
  <si>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</si>
  <si>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</si>
  <si>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</si>
  <si>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</si>
  <si>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</si>
  <si>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</si>
  <si>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</si>
  <si>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</si>
  <si>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</si>
  <si>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</si>
  <si>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</si>
  <si>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</si>
  <si>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</si>
  <si>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</si>
  <si>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</si>
  <si>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</si>
  <si>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</si>
  <si>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</si>
  <si>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</si>
  <si>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</si>
  <si>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</si>
  <si>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</si>
  <si>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</si>
  <si>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</si>
  <si>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</si>
  <si>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</si>
  <si>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</si>
  <si>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</si>
  <si>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</si>
  <si>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</si>
  <si>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</si>
  <si>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</si>
  <si>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</si>
  <si>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</si>
  <si>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</si>
  <si>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</si>
  <si>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</si>
  <si>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</si>
  <si>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</si>
  <si>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</si>
  <si>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</si>
  <si>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</si>
  <si>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</si>
  <si>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</si>
  <si>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</si>
  <si>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</si>
  <si>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</si>
  <si>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</si>
  <si>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</si>
  <si>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</si>
  <si>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</si>
  <si>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</si>
  <si>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</si>
  <si>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</si>
  <si>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</si>
  <si>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</si>
  <si>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</si>
  <si>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</si>
  <si>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</si>
  <si>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</si>
  <si>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</si>
  <si>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</si>
  <si>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</si>
  <si>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12-04-2019 00:00:00</t>
  </si>
  <si>
    <t>28262360</t>
  </si>
  <si>
    <t>ООО "СамРЭК-Эксплуатация"</t>
  </si>
  <si>
    <t>6315648332</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</si>
  <si>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</si>
  <si>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</si>
  <si>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</si>
  <si>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</si>
  <si>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</si>
  <si>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</si>
  <si>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</si>
  <si>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</si>
  <si>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</si>
  <si>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</si>
  <si>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</si>
  <si>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</si>
  <si>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</si>
  <si>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</si>
  <si>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</si>
  <si>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</si>
  <si>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</si>
  <si>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</si>
  <si>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</si>
  <si>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</si>
  <si>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</si>
  <si>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</si>
  <si>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</si>
  <si>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</si>
  <si>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</si>
  <si>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</si>
  <si>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</si>
  <si>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</si>
  <si>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</si>
  <si>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</si>
  <si>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</si>
  <si>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</si>
  <si>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</si>
  <si>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</si>
  <si>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</si>
  <si>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</si>
  <si>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</si>
  <si>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</si>
  <si>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</si>
  <si>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</si>
  <si>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</si>
  <si>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</si>
  <si>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</si>
  <si>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</si>
  <si>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</si>
  <si>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</si>
  <si>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</si>
  <si>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</si>
  <si>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</si>
  <si>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</si>
  <si>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</si>
  <si>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</si>
  <si>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</si>
  <si>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</si>
  <si>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</si>
  <si>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</si>
  <si>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</si>
  <si>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</si>
  <si>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</si>
  <si>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</si>
  <si>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</si>
  <si>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</si>
  <si>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</si>
  <si>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</si>
  <si>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</si>
  <si>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</si>
  <si>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</si>
  <si>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</si>
  <si>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</si>
  <si>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</si>
  <si>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</si>
  <si>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</si>
  <si>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</si>
  <si>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</si>
  <si>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</si>
  <si>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</si>
  <si>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</si>
  <si>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</si>
  <si>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</si>
  <si>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</si>
  <si>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</si>
  <si>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</si>
  <si>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</si>
  <si>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</si>
  <si>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</si>
  <si>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</si>
  <si>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</si>
  <si>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</si>
  <si>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</si>
  <si>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</si>
  <si>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</si>
  <si>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</si>
  <si>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</si>
  <si>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</si>
  <si>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</si>
  <si>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</si>
  <si>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</si>
  <si>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</si>
  <si>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</si>
  <si>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</si>
  <si>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</si>
  <si>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</si>
  <si>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</si>
  <si>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</si>
  <si>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</si>
  <si>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</si>
  <si>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</si>
  <si>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</si>
  <si>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</si>
  <si>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</si>
  <si>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</si>
  <si>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</si>
  <si>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</si>
  <si>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</si>
  <si>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</si>
  <si>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</si>
  <si>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</si>
  <si>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</si>
  <si>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</si>
  <si>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</si>
  <si>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</si>
  <si>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</si>
  <si>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</si>
  <si>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</si>
  <si>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</si>
  <si>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</si>
  <si>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</si>
  <si>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</si>
  <si>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</si>
  <si>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</si>
  <si>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</si>
  <si>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</si>
  <si>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</si>
  <si>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</si>
  <si>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</si>
  <si>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</si>
  <si>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</si>
  <si>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</si>
  <si>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</si>
  <si>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</si>
  <si>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</si>
  <si>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</si>
  <si>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</si>
  <si>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</si>
  <si>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</si>
  <si>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</si>
  <si>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</si>
  <si>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</si>
  <si>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</si>
  <si>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</si>
  <si>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</si>
  <si>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</si>
  <si>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</si>
  <si>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</si>
  <si>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</si>
  <si>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</si>
  <si>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</si>
  <si>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</si>
  <si>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</si>
  <si>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</si>
  <si>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</si>
  <si>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</si>
  <si>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</si>
  <si>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</si>
  <si>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</si>
  <si>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</si>
  <si>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</si>
  <si>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</si>
  <si>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</si>
  <si>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</si>
  <si>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</si>
  <si>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</si>
  <si>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</si>
  <si>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</si>
  <si>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</si>
  <si>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</si>
  <si>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</si>
  <si>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</si>
  <si>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</si>
  <si>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</si>
  <si>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</si>
  <si>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</si>
  <si>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</si>
  <si>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</si>
  <si>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</si>
  <si>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</si>
  <si>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</si>
  <si>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</si>
  <si>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</si>
  <si>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</si>
  <si>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</si>
  <si>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</si>
  <si>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</si>
  <si>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</si>
  <si>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</si>
  <si>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</si>
  <si>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</si>
  <si>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</si>
  <si>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</si>
  <si>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</si>
  <si>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</si>
  <si>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</si>
  <si>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</si>
  <si>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</si>
  <si>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</si>
  <si>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</si>
  <si>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</si>
  <si>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</si>
  <si>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</si>
  <si>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</si>
  <si>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</si>
  <si>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</si>
  <si>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</si>
  <si>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</si>
  <si>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</si>
  <si>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</si>
  <si>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</si>
  <si>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</si>
  <si>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</si>
  <si>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</si>
  <si>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</si>
  <si>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</si>
  <si>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</si>
  <si>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</si>
  <si>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</si>
  <si>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</si>
  <si>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</si>
  <si>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</si>
  <si>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</si>
  <si>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</si>
  <si>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</si>
  <si>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</si>
  <si>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</si>
  <si>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</si>
  <si>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</si>
  <si>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</si>
  <si>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</si>
  <si>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</si>
  <si>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</si>
  <si>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</si>
  <si>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</si>
  <si>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</si>
  <si>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</si>
  <si>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</si>
  <si>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</si>
  <si>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</si>
  <si>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</si>
  <si>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</si>
  <si>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</si>
  <si>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</si>
  <si>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</si>
  <si>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</si>
  <si>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</si>
  <si>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</si>
  <si>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</si>
  <si>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</si>
  <si>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</si>
  <si>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</si>
  <si>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</si>
  <si>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</si>
  <si>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</si>
  <si>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</si>
  <si>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</si>
  <si>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</si>
  <si>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</si>
  <si>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</si>
  <si>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</si>
  <si>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</si>
  <si>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</si>
  <si>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</si>
  <si>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</si>
  <si>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</si>
  <si>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</si>
  <si>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</si>
  <si>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</si>
  <si>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</si>
  <si>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</si>
  <si>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</si>
  <si>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</si>
  <si>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</si>
  <si>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</si>
  <si>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</si>
  <si>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</si>
  <si>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</si>
  <si>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</si>
  <si>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</si>
  <si>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</si>
  <si>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</si>
  <si>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</si>
  <si>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</si>
  <si>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</si>
  <si>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</si>
  <si>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</si>
  <si>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</si>
  <si>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</si>
  <si>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</si>
  <si>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</si>
  <si>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</si>
  <si>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</si>
  <si>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</si>
  <si>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</si>
  <si>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</si>
  <si>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</si>
  <si>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</si>
  <si>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</si>
  <si>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</si>
  <si>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</si>
  <si>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</si>
  <si>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</si>
  <si>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</si>
  <si>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</si>
  <si>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</si>
  <si>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</si>
  <si>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</si>
  <si>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</si>
  <si>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</si>
  <si>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</si>
  <si>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</si>
  <si>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</si>
  <si>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</si>
  <si>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</si>
  <si>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</si>
  <si>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</si>
  <si>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</si>
  <si>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</si>
  <si>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</si>
  <si>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</si>
  <si>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</si>
  <si>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</si>
  <si>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</si>
  <si>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</si>
  <si>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</si>
  <si>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</si>
  <si>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</si>
  <si>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</si>
  <si>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</si>
  <si>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</si>
  <si>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</si>
  <si>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</si>
  <si>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</si>
  <si>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</si>
  <si>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</si>
  <si>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</si>
  <si>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</si>
  <si>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</si>
  <si>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</si>
  <si>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</si>
  <si>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</si>
  <si>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</si>
  <si>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</si>
  <si>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</si>
  <si>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</si>
  <si>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</si>
  <si>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</si>
  <si>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</si>
  <si>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</si>
  <si>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</si>
  <si>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</si>
  <si>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</si>
  <si>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</si>
  <si>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</si>
  <si>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</si>
  <si>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</si>
  <si>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</si>
  <si>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</si>
  <si>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</si>
  <si>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</si>
  <si>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</si>
  <si>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</si>
  <si>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</si>
  <si>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</si>
  <si>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</si>
  <si>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</si>
  <si>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</si>
  <si>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</si>
  <si>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</si>
  <si>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</si>
  <si>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</si>
  <si>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</si>
  <si>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</si>
  <si>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</si>
  <si>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</si>
  <si>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</si>
  <si>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</si>
  <si>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</si>
  <si>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</si>
  <si>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</si>
  <si>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</si>
  <si>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</si>
  <si>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</si>
  <si>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</si>
  <si>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</si>
  <si>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</si>
  <si>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</si>
  <si>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</si>
  <si>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</si>
  <si>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</si>
  <si>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</si>
  <si>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</si>
  <si>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</si>
  <si>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</si>
  <si>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</si>
  <si>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</si>
  <si>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</si>
  <si>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</si>
  <si>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</si>
  <si>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</si>
  <si>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</si>
  <si>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</si>
  <si>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</si>
  <si>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</si>
  <si>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</si>
  <si>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</si>
  <si>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</si>
  <si>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</si>
  <si>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</si>
  <si>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</si>
  <si>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</si>
  <si>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</si>
  <si>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</si>
  <si>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</si>
  <si>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</si>
  <si>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</si>
  <si>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</si>
  <si>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</si>
  <si>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</si>
  <si>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</si>
  <si>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</si>
  <si>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</si>
  <si>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</si>
  <si>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</si>
  <si>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</si>
  <si>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</si>
  <si>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</si>
  <si>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</si>
  <si>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</si>
  <si>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</si>
  <si>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</si>
  <si>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</si>
  <si>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</si>
  <si>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</si>
  <si>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</si>
  <si>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</si>
  <si>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</si>
  <si>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</si>
  <si>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</si>
  <si>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</si>
  <si>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</si>
  <si>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</si>
  <si>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</si>
  <si>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</si>
  <si>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</si>
  <si>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</si>
  <si>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</si>
  <si>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</si>
  <si>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</si>
  <si>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</si>
  <si>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</si>
  <si>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</si>
  <si>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</si>
  <si>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</si>
  <si>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</si>
  <si>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</si>
  <si>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</si>
  <si>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</si>
  <si>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</si>
  <si>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</si>
  <si>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</si>
  <si>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</si>
  <si>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</si>
  <si>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</si>
  <si>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</si>
  <si>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</si>
  <si>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</si>
  <si>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</si>
  <si>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</si>
  <si>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</si>
  <si>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</si>
  <si>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</si>
  <si>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</si>
  <si>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</si>
  <si>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</si>
  <si>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</si>
  <si>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</si>
  <si>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</si>
  <si>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</si>
  <si>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</si>
  <si>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</si>
  <si>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</si>
  <si>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</si>
  <si>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</si>
  <si>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</si>
  <si>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</si>
  <si>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</si>
  <si>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</si>
  <si>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</si>
  <si>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</si>
  <si>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</si>
  <si>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</si>
  <si>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</si>
  <si>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</si>
  <si>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</si>
  <si>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</si>
  <si>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</si>
  <si>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</si>
  <si>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</si>
  <si>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</si>
  <si>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</si>
  <si>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</si>
  <si>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</si>
  <si>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</si>
  <si>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</si>
  <si>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</si>
  <si>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</si>
  <si>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</si>
  <si>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</si>
  <si>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</si>
  <si>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</si>
  <si>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</si>
  <si>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</si>
  <si>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</si>
  <si>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</si>
  <si>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</si>
  <si>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</si>
  <si>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</si>
  <si>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</si>
  <si>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</si>
  <si>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</si>
  <si>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</si>
  <si>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</si>
  <si>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</si>
  <si>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</si>
  <si>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</si>
  <si>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</si>
  <si>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</si>
  <si>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</si>
  <si>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</si>
  <si>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</si>
  <si>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</si>
  <si>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</si>
  <si>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</si>
  <si>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</si>
  <si>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</si>
  <si>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</si>
  <si>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</si>
  <si>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</si>
  <si>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</si>
  <si>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</si>
  <si>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</si>
  <si>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</si>
  <si>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</si>
  <si>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</si>
  <si>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</si>
  <si>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</si>
  <si>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</si>
  <si>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</si>
  <si>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</si>
  <si>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</si>
  <si>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</si>
  <si>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</si>
  <si>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</si>
  <si>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</si>
  <si>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</si>
  <si>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</si>
  <si>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</si>
  <si>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</si>
  <si>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</si>
  <si>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</si>
  <si>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</si>
  <si>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</si>
  <si>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</si>
  <si>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</si>
  <si>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</si>
  <si>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</si>
  <si>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</si>
  <si>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</si>
  <si>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</si>
  <si>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</si>
  <si>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</si>
  <si>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</si>
  <si>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</si>
  <si>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</si>
  <si>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</si>
  <si>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</si>
  <si>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</si>
  <si>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</si>
  <si>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</si>
  <si>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</si>
  <si>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</si>
  <si>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</si>
  <si>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</si>
  <si>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</si>
  <si>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</si>
  <si>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</si>
  <si>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</si>
  <si>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</si>
  <si>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</si>
  <si>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</si>
  <si>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</si>
  <si>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</si>
  <si>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</si>
  <si>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</si>
  <si>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</si>
  <si>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</si>
  <si>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</si>
  <si>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</si>
  <si>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</si>
  <si>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</si>
  <si>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</si>
  <si>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</si>
  <si>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</si>
  <si>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</si>
  <si>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</si>
  <si>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</si>
  <si>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</si>
  <si>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</si>
  <si>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</si>
  <si>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</si>
  <si>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</si>
  <si>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</si>
  <si>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</si>
  <si>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</si>
  <si>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</si>
  <si>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</si>
  <si>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</si>
  <si>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</si>
  <si>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</si>
  <si>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</si>
  <si>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</si>
  <si>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</si>
  <si>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</si>
  <si>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</si>
  <si>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</si>
  <si>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</si>
  <si>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</si>
  <si>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</si>
  <si>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</si>
  <si>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</si>
  <si>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</si>
  <si>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</si>
  <si>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</si>
  <si>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</si>
  <si>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</si>
  <si>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</si>
  <si>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</si>
  <si>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</si>
  <si>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</si>
  <si>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</si>
  <si>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</si>
  <si>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</si>
  <si>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</si>
  <si>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</si>
  <si>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</si>
  <si>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</si>
  <si>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</si>
  <si>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</si>
  <si>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</si>
  <si>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</si>
  <si>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</si>
  <si>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</si>
  <si>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</si>
  <si>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</si>
  <si>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</si>
  <si>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</si>
  <si>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</si>
  <si>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</si>
  <si>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</si>
  <si>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</si>
  <si>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</si>
  <si>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</si>
  <si>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</si>
  <si>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</si>
  <si>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</si>
  <si>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</si>
  <si>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</si>
  <si>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</si>
  <si>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</si>
  <si>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</si>
  <si>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</si>
  <si>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</si>
  <si>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</si>
  <si>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</si>
  <si>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</si>
  <si>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</si>
  <si>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</si>
  <si>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</si>
  <si>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</si>
  <si>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</si>
  <si>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</si>
  <si>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</si>
  <si>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</si>
  <si>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</si>
  <si>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</si>
  <si>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</si>
  <si>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</si>
  <si>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</si>
  <si>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</si>
  <si>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</si>
  <si>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</si>
  <si>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</si>
  <si>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</si>
  <si>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</si>
  <si>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</si>
  <si>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</si>
  <si>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</si>
  <si>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</si>
  <si>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</si>
  <si>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</si>
  <si>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</si>
  <si>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</si>
  <si>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</si>
  <si>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</si>
  <si>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</si>
  <si>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</si>
  <si>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</si>
  <si>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</si>
  <si>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</si>
  <si>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</si>
  <si>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</si>
  <si>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</si>
  <si>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</si>
  <si>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</si>
  <si>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</si>
  <si>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</si>
  <si>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</si>
  <si>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</si>
  <si>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</si>
  <si>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</si>
  <si>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</si>
  <si>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</si>
  <si>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</si>
  <si>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</si>
  <si>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</si>
  <si>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</si>
  <si>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</si>
  <si>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</si>
  <si>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</si>
  <si>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</si>
  <si>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</si>
  <si>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</si>
  <si>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</si>
  <si>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</si>
  <si>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</si>
  <si>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</si>
  <si>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</si>
  <si>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</si>
  <si>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</si>
  <si>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</si>
  <si>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</si>
  <si>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</si>
  <si>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</si>
  <si>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</si>
  <si>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</si>
  <si>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</si>
  <si>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</si>
  <si>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</si>
  <si>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</si>
  <si>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</si>
  <si>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</si>
  <si>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</si>
  <si>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</si>
  <si>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</si>
  <si>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</si>
  <si>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</si>
  <si>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</si>
  <si>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</si>
  <si>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</si>
  <si>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</si>
  <si>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</si>
  <si>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</si>
  <si>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</si>
  <si>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</si>
  <si>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</si>
  <si>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</si>
  <si>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</si>
  <si>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</si>
  <si>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</si>
  <si>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</si>
  <si>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</si>
  <si>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</si>
  <si>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</si>
  <si>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</si>
  <si>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</si>
  <si>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</si>
  <si>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</si>
  <si>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</si>
  <si>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</si>
  <si>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</si>
  <si>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</si>
  <si>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</si>
  <si>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</si>
  <si>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</si>
  <si>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</si>
  <si>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</si>
  <si>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</si>
  <si>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</si>
  <si>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</si>
  <si>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</si>
  <si>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</si>
  <si>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</si>
  <si>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</si>
  <si>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</si>
  <si>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</si>
  <si>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</si>
  <si>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</si>
  <si>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</si>
  <si>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</si>
  <si>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</si>
  <si>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</si>
  <si>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</si>
  <si>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</si>
  <si>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</si>
  <si>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</si>
  <si>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</si>
  <si>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</si>
  <si>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</si>
  <si>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</si>
  <si>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</si>
  <si>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</si>
  <si>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</si>
  <si>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</si>
  <si>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</si>
  <si>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</si>
  <si>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</si>
  <si>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</si>
  <si>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</si>
  <si>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</si>
  <si>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</si>
  <si>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</si>
  <si>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</si>
  <si>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</si>
  <si>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</si>
  <si>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</si>
  <si>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</si>
  <si>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</si>
  <si>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</si>
  <si>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</si>
  <si>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</si>
  <si>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</si>
  <si>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</si>
  <si>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</si>
  <si>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</si>
  <si>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</si>
  <si>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</si>
  <si>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</si>
  <si>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</si>
  <si>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</si>
  <si>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</si>
  <si>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</si>
  <si>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</si>
  <si>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</si>
  <si>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</si>
  <si>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</si>
  <si>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</si>
  <si>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</si>
  <si>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</si>
  <si>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</si>
  <si>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</si>
  <si>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</si>
  <si>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</si>
  <si>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</si>
  <si>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</si>
  <si>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</si>
  <si>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</si>
  <si>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</si>
  <si>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</si>
  <si>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</si>
  <si>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</si>
  <si>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</si>
  <si>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</si>
  <si>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</si>
  <si>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</si>
  <si>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</si>
  <si>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</si>
  <si>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</si>
  <si>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</si>
  <si>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</si>
  <si>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</si>
  <si>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</si>
  <si>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</si>
  <si>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</si>
  <si>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</si>
  <si>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</si>
  <si>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</si>
  <si>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</si>
  <si>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</si>
  <si>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</si>
  <si>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</si>
  <si>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</si>
  <si>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</si>
  <si>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</si>
  <si>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</si>
  <si>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</si>
  <si>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</si>
  <si>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</si>
  <si>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</si>
  <si>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</si>
  <si>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</si>
  <si>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</si>
  <si>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</si>
  <si>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</si>
  <si>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</si>
  <si>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</si>
  <si>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</si>
  <si>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</si>
  <si>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</si>
  <si>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</si>
  <si>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</si>
  <si>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</si>
  <si>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</si>
  <si>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</si>
  <si>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</si>
  <si>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</si>
  <si>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</si>
  <si>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</si>
  <si>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</si>
  <si>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</si>
  <si>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</si>
  <si>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</si>
  <si>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</si>
  <si>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</si>
  <si>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</si>
  <si>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</si>
  <si>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</si>
  <si>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</si>
  <si>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</si>
  <si>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</si>
  <si>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</si>
  <si>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</si>
  <si>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</si>
  <si>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</si>
  <si>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</si>
  <si>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</si>
  <si>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</si>
  <si>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</si>
  <si>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</si>
  <si>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</si>
  <si>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</si>
  <si>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</si>
  <si>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</si>
  <si>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</si>
  <si>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</si>
  <si>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</si>
  <si>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</si>
  <si>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</si>
  <si>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</si>
  <si>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</si>
  <si>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</si>
  <si>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</si>
  <si>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</si>
  <si>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</si>
  <si>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</si>
  <si>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</si>
  <si>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</si>
  <si>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</si>
  <si>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</si>
  <si>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</si>
  <si>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</si>
  <si>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</si>
  <si>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</si>
  <si>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</si>
  <si>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</si>
  <si>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</si>
  <si>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</si>
  <si>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</si>
  <si>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</si>
  <si>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</si>
  <si>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</si>
  <si>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</si>
  <si>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</si>
  <si>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</si>
  <si>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</si>
  <si>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</si>
  <si>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</si>
  <si>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</si>
  <si>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</si>
  <si>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</si>
  <si>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</si>
  <si>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</si>
  <si>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</si>
  <si>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</si>
  <si>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</si>
  <si>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</si>
  <si>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</si>
  <si>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</si>
  <si>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</si>
  <si>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</si>
  <si>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</si>
  <si>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</si>
  <si>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</si>
  <si>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</si>
  <si>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</si>
  <si>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</si>
  <si>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</si>
  <si>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</si>
  <si>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</si>
  <si>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</si>
  <si>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</si>
  <si>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</si>
  <si>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</si>
  <si>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</si>
  <si>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</si>
  <si>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</si>
  <si>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</si>
  <si>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</si>
  <si>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</si>
  <si>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</si>
  <si>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</si>
  <si>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</si>
  <si>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</si>
  <si>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</si>
  <si>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</si>
  <si>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</si>
  <si>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</si>
  <si>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</si>
  <si>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</si>
  <si>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</si>
  <si>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</si>
  <si>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</si>
  <si>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</si>
  <si>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</si>
  <si>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</si>
  <si>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</si>
  <si>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</si>
  <si>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</si>
  <si>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</si>
  <si>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</si>
  <si>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</si>
  <si>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</si>
  <si>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</si>
  <si>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</si>
  <si>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</si>
  <si>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</si>
  <si>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</si>
  <si>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</si>
  <si>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</si>
  <si>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</si>
  <si>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</si>
  <si>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</si>
  <si>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</si>
  <si>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</si>
  <si>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</si>
  <si>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</si>
  <si>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</si>
  <si>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</si>
  <si>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</si>
  <si>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</si>
  <si>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</si>
  <si>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</si>
  <si>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</si>
  <si>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</si>
  <si>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</si>
  <si>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</si>
  <si>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</si>
  <si>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</si>
  <si>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</si>
  <si>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</si>
  <si>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</si>
  <si>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</si>
  <si>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</si>
  <si>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</si>
  <si>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</si>
  <si>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</si>
  <si>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</si>
  <si>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</si>
  <si>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</si>
  <si>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</si>
  <si>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</si>
  <si>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</si>
  <si>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</si>
  <si>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</si>
  <si>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</si>
  <si>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</si>
  <si>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</si>
  <si>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</si>
  <si>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</si>
  <si>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</si>
  <si>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</si>
  <si>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</si>
  <si>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</si>
  <si>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</si>
  <si>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</si>
  <si>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</si>
  <si>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</si>
  <si>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</si>
  <si>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</si>
  <si>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</si>
  <si>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</si>
  <si>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</si>
  <si>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</si>
  <si>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</si>
  <si>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</si>
  <si>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</si>
  <si>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</si>
  <si>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</si>
  <si>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</si>
  <si>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</si>
  <si>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</si>
  <si>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</si>
  <si>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</si>
  <si>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</si>
  <si>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</si>
  <si>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</si>
  <si>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</si>
  <si>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</si>
  <si>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</si>
  <si>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</si>
  <si>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</si>
  <si>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</si>
  <si>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</si>
  <si>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</si>
  <si>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</si>
  <si>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</si>
  <si>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</si>
  <si>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</si>
  <si>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</si>
  <si>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</si>
  <si>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</si>
  <si>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</si>
  <si>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</si>
  <si>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</si>
  <si>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</si>
  <si>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</si>
  <si>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</si>
  <si>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</si>
  <si>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</si>
  <si>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</si>
  <si>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</si>
  <si>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</si>
  <si>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</si>
  <si>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</si>
  <si>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</si>
  <si>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</si>
  <si>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</si>
  <si>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</si>
  <si>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</si>
  <si>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</si>
  <si>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</si>
  <si>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</si>
  <si>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</si>
  <si>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</si>
  <si>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</si>
  <si>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</si>
  <si>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</si>
  <si>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</si>
  <si>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</si>
  <si>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</si>
  <si>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</si>
  <si>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</si>
  <si>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</si>
  <si>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</si>
  <si>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</si>
  <si>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</si>
  <si>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</si>
  <si>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</si>
  <si>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</si>
  <si>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</si>
  <si>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</si>
  <si>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</si>
  <si>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</si>
  <si>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</si>
  <si>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</si>
  <si>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</si>
  <si>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</si>
  <si>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</si>
  <si>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</si>
  <si>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</si>
  <si>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</si>
  <si>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</si>
  <si>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</si>
  <si>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</si>
  <si>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</si>
  <si>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</si>
  <si>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</si>
  <si>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</si>
  <si>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</si>
  <si>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</si>
  <si>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</si>
  <si>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</si>
  <si>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</si>
  <si>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</si>
  <si>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</si>
  <si>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</si>
  <si>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</si>
  <si>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</si>
  <si>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</si>
  <si>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</si>
  <si>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</si>
  <si>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</si>
  <si>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</si>
  <si>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</si>
  <si>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</si>
  <si>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</si>
  <si>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</si>
  <si>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</si>
  <si>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</si>
  <si>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</si>
  <si>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</si>
  <si>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</si>
  <si>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</si>
  <si>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</si>
  <si>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</si>
  <si>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</si>
  <si>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</si>
  <si>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</si>
  <si>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</si>
  <si>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</si>
  <si>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</si>
  <si>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</si>
  <si>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</si>
  <si>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</si>
  <si>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</si>
  <si>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</si>
  <si>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</si>
  <si>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</si>
  <si>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</si>
  <si>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</si>
  <si>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</si>
  <si>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</si>
  <si>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</si>
  <si>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</si>
  <si>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</si>
  <si>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</si>
  <si>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</si>
  <si>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</si>
  <si>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</si>
  <si>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</si>
  <si>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</si>
  <si>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</si>
  <si>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</si>
  <si>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</si>
  <si>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</si>
  <si>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</si>
  <si>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</si>
  <si>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</si>
  <si>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</si>
  <si>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</si>
  <si>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</si>
  <si>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</si>
  <si>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</si>
  <si>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</si>
  <si>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</si>
  <si>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</si>
  <si>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</si>
  <si>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</si>
  <si>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</si>
  <si>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</si>
  <si>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</si>
  <si>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</si>
  <si>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</si>
  <si>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</si>
  <si>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</si>
  <si>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</si>
  <si>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</si>
  <si>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</si>
  <si>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</si>
  <si>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</si>
  <si>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</si>
  <si>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</si>
  <si>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</si>
  <si>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</si>
  <si>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</si>
  <si>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</si>
  <si>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</si>
  <si>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</si>
  <si>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</si>
  <si>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</si>
  <si>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</si>
  <si>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</si>
  <si>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</si>
  <si>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</si>
  <si>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</si>
  <si>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</si>
  <si>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</si>
  <si>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</si>
  <si>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</si>
  <si>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</si>
  <si>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</si>
  <si>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</si>
  <si>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</si>
  <si>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</si>
  <si>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</si>
  <si>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</si>
  <si>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</si>
  <si>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</si>
  <si>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</si>
  <si>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</si>
  <si>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</si>
  <si>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</si>
  <si>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</si>
  <si>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</si>
  <si>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</si>
  <si>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</si>
  <si>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</si>
  <si>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</si>
  <si>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</si>
  <si>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</si>
  <si>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</si>
  <si>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</si>
  <si>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</si>
  <si>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</si>
  <si>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</si>
  <si>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</si>
  <si>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</si>
  <si>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</si>
  <si>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</si>
  <si>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</si>
  <si>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</si>
  <si>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</si>
  <si>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</si>
  <si>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</si>
  <si>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</si>
  <si>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</si>
  <si>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</si>
  <si>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</si>
  <si>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</si>
  <si>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</si>
  <si>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</si>
  <si>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</si>
  <si>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</si>
  <si>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</si>
  <si>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</si>
  <si>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</si>
  <si>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</si>
  <si>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</si>
  <si>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</si>
  <si>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</si>
  <si>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</si>
  <si>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</si>
  <si>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</si>
  <si>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</si>
  <si>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</si>
  <si>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</si>
  <si>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</si>
  <si>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</si>
  <si>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</si>
  <si>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</si>
  <si>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</si>
  <si>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</si>
  <si>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</si>
  <si>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</si>
  <si>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</si>
  <si>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</si>
  <si>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</si>
  <si>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</si>
  <si>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</si>
  <si>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</si>
  <si>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</si>
  <si>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</si>
  <si>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</si>
  <si>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</si>
  <si>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</si>
  <si>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</si>
  <si>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</si>
  <si>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</si>
  <si>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</si>
  <si>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</si>
  <si>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</si>
  <si>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</si>
  <si>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</si>
  <si>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</si>
  <si>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</si>
  <si>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</si>
  <si>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</si>
  <si>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</si>
  <si>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</si>
  <si>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</si>
  <si>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</si>
  <si>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</si>
  <si>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</si>
  <si>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</si>
  <si>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</si>
  <si>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</si>
  <si>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</si>
  <si>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</si>
  <si>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</si>
  <si>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</si>
  <si>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</si>
  <si>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</si>
  <si>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</si>
  <si>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</si>
  <si>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</si>
  <si>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</si>
  <si>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</si>
  <si>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</si>
  <si>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</si>
  <si>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</si>
  <si>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</si>
  <si>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</si>
  <si>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</si>
  <si>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</si>
  <si>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</si>
  <si>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</si>
  <si>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</si>
  <si>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</si>
  <si>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</si>
  <si>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</si>
  <si>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</si>
  <si>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</si>
  <si>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</si>
  <si>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</si>
  <si>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</si>
  <si>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</si>
  <si>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</si>
  <si>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</si>
  <si>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</si>
  <si>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</si>
  <si>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</si>
  <si>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</si>
  <si>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</si>
  <si>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</si>
  <si>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</si>
  <si>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</si>
  <si>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</si>
  <si>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</si>
  <si>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</si>
  <si>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</si>
  <si>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</si>
  <si>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</si>
  <si>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</si>
  <si>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</si>
  <si>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</si>
  <si>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</si>
  <si>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</si>
  <si>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</si>
  <si>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</si>
  <si>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</si>
  <si>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</si>
  <si>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</si>
  <si>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</si>
  <si>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</si>
  <si>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</si>
  <si>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</si>
  <si>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</si>
  <si>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</si>
  <si>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</si>
  <si>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</si>
  <si>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</si>
  <si>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</si>
  <si>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</si>
  <si>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</si>
  <si>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</si>
  <si>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</si>
  <si>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</si>
  <si>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</si>
  <si>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</si>
  <si>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</si>
  <si>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</si>
  <si>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</si>
  <si>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</si>
  <si>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</si>
  <si>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</si>
  <si>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</si>
  <si>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</si>
  <si>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</si>
  <si>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</si>
  <si>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</si>
  <si>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</si>
  <si>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</si>
  <si>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</si>
  <si>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</si>
  <si>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</si>
  <si>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</si>
  <si>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</si>
  <si>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</si>
  <si>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</si>
  <si>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</si>
  <si>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</si>
  <si>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</si>
  <si>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</si>
  <si>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</si>
  <si>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</si>
  <si>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</si>
  <si>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</si>
  <si>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</si>
  <si>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</si>
  <si>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</si>
  <si>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</si>
  <si>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</si>
  <si>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</si>
  <si>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</si>
  <si>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</si>
  <si>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</si>
  <si>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</si>
  <si>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</si>
  <si>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</si>
  <si>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</si>
  <si>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</si>
  <si>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</si>
  <si>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</si>
  <si>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</si>
  <si>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</si>
  <si>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</si>
  <si>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</si>
  <si>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</si>
  <si>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</si>
  <si>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</si>
  <si>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</si>
  <si>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</si>
  <si>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</si>
  <si>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</si>
  <si>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</si>
  <si>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</si>
  <si>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</si>
  <si>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</si>
  <si>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</si>
  <si>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</si>
  <si>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</si>
  <si>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</si>
  <si>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</si>
  <si>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</si>
  <si>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</si>
  <si>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</si>
  <si>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</si>
  <si>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</si>
  <si>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</si>
  <si>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</si>
  <si>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</si>
  <si>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</si>
  <si>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</si>
  <si>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</si>
  <si>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</si>
  <si>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</si>
  <si>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</si>
  <si>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</si>
  <si>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</si>
  <si>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</si>
  <si>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</si>
  <si>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</si>
  <si>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</si>
  <si>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</si>
  <si>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</si>
  <si>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</si>
  <si>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</si>
  <si>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</si>
  <si>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</si>
  <si>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</si>
  <si>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</si>
  <si>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</si>
  <si>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</si>
  <si>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</si>
  <si>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</si>
  <si>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</si>
  <si>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</si>
  <si>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</si>
  <si>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</si>
  <si>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</si>
  <si>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</si>
  <si>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</si>
  <si>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</si>
  <si>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</si>
  <si>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</si>
  <si>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</si>
  <si>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</si>
  <si>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</si>
  <si>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</si>
  <si>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</si>
  <si>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</si>
  <si>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</si>
  <si>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</si>
  <si>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</si>
  <si>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</si>
  <si>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</si>
  <si>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</si>
  <si>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</si>
  <si>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</si>
  <si>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</si>
  <si>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</si>
  <si>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</si>
  <si>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</si>
  <si>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</si>
  <si>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</si>
  <si>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</si>
  <si>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</si>
  <si>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</si>
  <si>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</si>
  <si>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</si>
  <si>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</si>
  <si>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</si>
  <si>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</si>
  <si>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</si>
  <si>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</si>
  <si>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</si>
  <si>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</si>
  <si>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</si>
  <si>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</si>
  <si>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</si>
  <si>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</si>
  <si>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</si>
  <si>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</si>
  <si>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</si>
  <si>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</si>
  <si>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</si>
  <si>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</si>
  <si>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</si>
  <si>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</si>
  <si>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</si>
  <si>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</si>
  <si>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</si>
  <si>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</si>
  <si>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</si>
  <si>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</si>
  <si>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</si>
  <si>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</si>
  <si>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</si>
  <si>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</si>
  <si>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</si>
  <si>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</si>
  <si>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</si>
  <si>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</si>
  <si>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</si>
  <si>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</si>
  <si>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</si>
  <si>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</si>
  <si>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</si>
  <si>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</si>
  <si>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</si>
  <si>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</si>
  <si>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</si>
  <si>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</si>
  <si>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</si>
  <si>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</si>
  <si>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</si>
  <si>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</si>
  <si>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</si>
  <si>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</si>
  <si>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</si>
  <si>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</si>
  <si>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</si>
  <si>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</si>
  <si>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</si>
  <si>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</si>
  <si>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</si>
  <si>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</si>
  <si>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</si>
  <si>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</si>
  <si>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</si>
  <si>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</si>
  <si>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</si>
  <si>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</si>
  <si>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</si>
  <si>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</si>
  <si>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</si>
  <si>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</si>
  <si>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</si>
  <si>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</si>
  <si>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</si>
  <si>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</si>
  <si>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</si>
  <si>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</si>
  <si>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</si>
  <si>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</si>
  <si>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</si>
  <si>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</si>
  <si>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</si>
  <si>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</si>
  <si>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</si>
  <si>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</si>
  <si>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</si>
  <si>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</si>
  <si>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</si>
  <si>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</si>
  <si>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</si>
  <si>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</si>
  <si>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</si>
  <si>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</si>
  <si>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</si>
  <si>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</si>
  <si>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</si>
  <si>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</si>
  <si>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</si>
  <si>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</si>
  <si>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</si>
  <si>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</si>
  <si>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</si>
  <si>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</si>
  <si>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</si>
  <si>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</si>
  <si>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</si>
  <si>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</si>
  <si>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</si>
  <si>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</si>
  <si>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</si>
  <si>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</si>
  <si>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</si>
  <si>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</si>
  <si>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</si>
  <si>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</si>
  <si>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</si>
  <si>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</si>
  <si>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</si>
  <si>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</si>
  <si>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</si>
  <si>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</si>
  <si>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</si>
  <si>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</si>
  <si>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</si>
  <si>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</si>
  <si>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</si>
  <si>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</si>
  <si>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</si>
  <si>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</si>
  <si>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</si>
  <si>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</si>
  <si>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</si>
  <si>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</si>
  <si>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</si>
  <si>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</si>
  <si>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</si>
  <si>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</si>
  <si>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</si>
  <si>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</si>
  <si>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</si>
  <si>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</si>
  <si>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</si>
  <si>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</si>
  <si>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</si>
  <si>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</si>
  <si>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</si>
  <si>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</si>
  <si>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</si>
  <si>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</si>
  <si>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</si>
  <si>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</si>
  <si>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</si>
  <si>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</si>
  <si>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</si>
  <si>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</si>
  <si>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</si>
  <si>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</si>
  <si>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</si>
  <si>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</si>
  <si>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</si>
  <si>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</si>
  <si>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</si>
  <si>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</si>
  <si>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</si>
  <si>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</si>
  <si>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</si>
  <si>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</si>
  <si>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</si>
  <si>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</si>
  <si>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</si>
  <si>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</si>
  <si>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</si>
  <si>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</si>
  <si>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</si>
  <si>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</si>
  <si>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</si>
  <si>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</si>
  <si>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</si>
  <si>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</si>
  <si>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</si>
  <si>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</si>
  <si>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</si>
  <si>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</si>
  <si>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</si>
  <si>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</si>
  <si>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</si>
  <si>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</si>
  <si>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</si>
  <si>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</si>
  <si>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</si>
  <si>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</si>
  <si>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</si>
  <si>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</si>
  <si>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</si>
  <si>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</si>
  <si>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</si>
  <si>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</si>
  <si>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</si>
  <si>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</si>
  <si>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</si>
  <si>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</si>
  <si>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</si>
  <si>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</si>
  <si>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</si>
  <si>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</si>
  <si>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</si>
  <si>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</si>
  <si>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</si>
  <si>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</si>
  <si>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</si>
  <si>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</si>
  <si>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</si>
  <si>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</si>
  <si>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</si>
  <si>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</si>
  <si>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</si>
  <si>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</si>
  <si>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</si>
  <si>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</si>
  <si>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</si>
  <si>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</si>
  <si>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</si>
  <si>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</si>
  <si>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</si>
  <si>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104 от 27.06.2022 Филиал "Самарский" ПАО "Т Плюс" в сфере теплоснабжения по реконструкции и техническому перевооружению единого комплекса объектов, на территории городского округа Сызрань на 2023 год</t>
  </si>
  <si>
    <t>01.01.2023</t>
  </si>
  <si>
    <t>31.12.2023</t>
  </si>
  <si>
    <t>Инвестиционная программа № 108 от 29.07.2021 ООО "СамРЭК-Эксплуатация" в сфере теплоснабжения по модернизации системы теплоснабжения, на территории муниципального района Пестравский на 2022-2023 годы</t>
  </si>
  <si>
    <t>01.01.2022</t>
  </si>
  <si>
    <t>Инвестиционная программа № 122 от 31.08.2021 АО "Теплоэнергокомпания" в сфере теплоснабжения по модернизации, развитию и техническому перевооружению имущественного комплекса, на территории городского округа Чапаевск на 2022-2023 годы</t>
  </si>
  <si>
    <t>Инвестиционная программа № 131 от 17.09.2021 ООО "СамРЭК-Тепло Жигулевск" в сфере теплоснабжения по реконструкции системы теплоснабжения, на территории городского округа Жигулевск на 2021-2030 годы</t>
  </si>
  <si>
    <t>17.09.2021</t>
  </si>
  <si>
    <t>31.12.2030</t>
  </si>
  <si>
    <t>Инвестиционная программа № 158 от 26.10.2021 ООО "СамРЭК-Эксплуатация" в сфере теплоснабжения по модернизации системы теплоснабжения, на территории муниципального района Большечерниговский на 2022-2023 годы</t>
  </si>
  <si>
    <t>Инвестиционная программа № 159 от 27.10.2021 ООО "СамРЭК-Эксплуатация" в сфере теплоснабжения по модернизации систем теплоснабжения, на территории муниципального района Кинель-Черкасский на 2022-2023 годы</t>
  </si>
  <si>
    <t>Инвестиционная программа № 159 от 27.10.2021 ООО "СамРЭК-Эксплуатация" в сфере теплоснабжения по модернизации системы теплоснабжения, на территории муниципального района Кинель-Черкасский на 2022 год</t>
  </si>
  <si>
    <t>31.12.2022</t>
  </si>
  <si>
    <t>Инвестиционная программа № 160 от 27.10.2021 ООО "СамРЭК-Эксплуатация" в сфере теплоснабжения по модернизации системы теплоснабжения, на территории муниципального района Кинельский на 2022-2023 годы</t>
  </si>
  <si>
    <t>Инвестиционная программа № 161 от 27.10.2021 ООО "СамРЭК-Эксплуатация" в сфере теплоснабжения по модернизации системы теплоснабжения, на территории муниципального района Исаклинский на 2022-2023 годы</t>
  </si>
  <si>
    <t>Инвестиционная программа № 177 от 17.10.2022 ООО "СамРЭК-Тепло Жигулевск" в сфере теплоснабжения по модернизации систем теплоснабжения, на территории городского округа Жигулевск на 2022-2046 годы</t>
  </si>
  <si>
    <t>17.10.2022</t>
  </si>
  <si>
    <t>31.12.2046</t>
  </si>
  <si>
    <t>Инвестиционная программа № 181 от 29.10.2021 МУП "Тепло Волжского района" в сфере теплоснабжения по модернизации, реконструкции и техническому перевооружению систем инженерной инфраструктуры, на территории муниципального района Волжский на 2022-2023 годы</t>
  </si>
  <si>
    <t>Инвестиционная программа № 191 от 30.01.2020 Филиал "Самарский" ПАО "Т Плюс" в сфере теплоснабжения по модернизации, реконструкции и техническому перевооружению единого комплекса объектов, на территории городского округа на 2021 год</t>
  </si>
  <si>
    <t>01.01.2021</t>
  </si>
  <si>
    <t>31.12.2021</t>
  </si>
  <si>
    <t>Инвестиционная программа № 204 от 08.12.2021 ООО "ТЕПЛОРЕСУРС" в сфере теплоснабжения в отношении теплоэнергетического комплекса на 2022-2027 годы</t>
  </si>
  <si>
    <t>31.12.2027</t>
  </si>
  <si>
    <t>Инвестиционная программа № 205 от 25.10.2022 МУП "Теплообеспечение" в сфере теплоснабжения по модернизации объектов, на территории муниципального района Волжский на 2023-2025 годы</t>
  </si>
  <si>
    <t>31.12.2025</t>
  </si>
  <si>
    <t>Инвестиционная программа № 207 от 24.10.2023 ООО "СамРЭК-Эксплуатация" в сфере теплоснабжения по модернизации систем теплоснабжения, на территории муниципального района Кинельский на 2024-2028 годы</t>
  </si>
  <si>
    <t>01.01.2024</t>
  </si>
  <si>
    <t>31.12.2028</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</si>
  <si>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Волжский на 2021-2023 годы</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</si>
  <si>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</si>
  <si>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 год</t>
  </si>
  <si>
    <t>31.12.2024</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</si>
  <si>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2024-2028 годы</t>
  </si>
  <si>
    <t>Инвестиционная программа № 208 от 30.10.2020 ООО "СамРЭК-Эксплуатация" в сфере теплоснабжения по модернизации систем теплоснабжения, на территории муниципального района Нефтегорский на 2021-2023 годы</t>
  </si>
  <si>
    <t>Инвестиционная программа № 209 от 24.10.2023 ООО "СамРЭК-Эксплуатация" в сфере теплоснабжения по модернизации систем теплоснабжения, на территории муниципального района Хворостянский на 2024-2028 годы</t>
  </si>
  <si>
    <t>Инвестиционная программа № 210 от 24.10.2023 ООО "СамРЭК-Эксплуатация" в сфере теплоснабжения по модернизации систем теплоснабжения, на территории муниципального района Похвистневский на 2024-2028 годы</t>
  </si>
  <si>
    <t>Инвестиционная программа № 210 от 30.10.2020 ООО "СамРЭК-Эксплуатация" в сфере теплоснабжения по модернизации систем теплоснабжения, на территории муниципального района Похвистневский на 2021-2023 годы</t>
  </si>
  <si>
    <t>Инвестиционная программа № 211 от 25.10.2023 ООО "СамРЭК-Эксплуатация" в сфере теплоснабжения по модернизации систем теплоснабжения, на территории городского округа Чапаевск на 2024-2028 годы</t>
  </si>
  <si>
    <t>Инвестиционная программа № 211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</si>
  <si>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212 от 25.10.2023 ООО "СамРЭК-Эксплуатация" в сфере теплоснабжения по модернизации систем теплоснабжения, на территории муниципального района Пестравский на 2024-2028 годы</t>
  </si>
  <si>
    <t>Инвестиционная программа № 214 от 26.10.2023 ООО "СамРЭК-Эксплуатация" в сфере теплоснабжения по модернизации систем теплоснабжения, на территории муниципального района Шигонский на 2024-2028 годы</t>
  </si>
  <si>
    <t>Инвестиционная программа № 215 от 26.10.2023 ООО "СамРЭК-Эксплуатация" в сфере теплоснабжения по модернизации систем теплоснабжения, на территории муниципального района Волжский на 2024-2028 годы</t>
  </si>
  <si>
    <t>Инвестиционная программа № 216 от 26.10.2023 ООО "СамРЭК-Эксплуатация" в сфере теплоснабжения по модернизации систем теплоснабжения, на территории муниципального района Елховский на 2024-2028 годы</t>
  </si>
  <si>
    <t>Инвестиционная программа № 217 от 26.10.2023 ООО "СамРЭК-Эксплуатация" в сфере теплоснабжения по модернизации систем теплоснабжения, на территории муниципального района Ставропольский на 2024-2028 годы</t>
  </si>
  <si>
    <t>Инвестиционная программа № 226 от 26.10.2023 Филиал "Самарский" ПАО "Т Плюс" в сфере теплоснабжения по строительству и техническому перевооружению единого комплекса объектов, на территории городского округа Сызрань на 2024 год</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</si>
  <si>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Большечерниговский на 2024-2028 годы</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</si>
  <si>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</si>
  <si>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228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</si>
  <si>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229 от 27.10.2023 ООО "СамРЭК-Эксплуатация" в сфере теплоснабжения по модернизации систем теплоснабжения, на территории муниципального района Кошкинский на 2024-2028 годы</t>
  </si>
  <si>
    <t>Инвестиционная программа № 253 от 23.11.2023 ООО "СамРЭК-Эксплуатация" в сфере теплоснабжения по модернизации систем теплоснабжения, на территории муниципального района Безенчукский на 2023-2032 годы</t>
  </si>
  <si>
    <t>23.11.2023</t>
  </si>
  <si>
    <t>31.12.2032</t>
  </si>
  <si>
    <t>Инвестиционная программа № 370/7/9248 от 21.09.2021 ООО "СТЭК" в сфере теплоснабжения по строительству, реконструкции и модернизации имущественного комплекса, на территории городского поселения Рощинский, Волжский муниципальный район на 2021-2025 годы</t>
  </si>
  <si>
    <t>21.09.2021</t>
  </si>
  <si>
    <t>Инвестиционная программа № 84 от 22.05.2020 ООО "Красноярская ТЭК" в сфере теплоснабжения по модернизации, развитию и техническому перевооружению имущественного комплекса, на территории муниципального района Красноярский на 2022-2030 годы</t>
  </si>
  <si>
    <t>Инвестиционная программа от 20.02.2023 ООО "ТЕПЛОРЕСУРС" в сфере теплоснабжения по модернизации и реконструкции систем коммунальной инфраструктуры, на территории муниципального района Елховский на 2023-2038 годы</t>
  </si>
  <si>
    <t>20.02.2023</t>
  </si>
  <si>
    <t>31.12.2038</t>
  </si>
  <si>
    <t>Инвестиционная программа от 20.05.2020 ООО "Красноярская ТЭК" в сфере теплоснабжения и горячего водоснабжения по модернизации, реконструкции и техническому перевооружению систем инженерной инфраструктуры, на территории муниципального района Красноярский на 2022-2036 годы</t>
  </si>
  <si>
    <t>31.12.2036</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</si>
  <si>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имущественного комплекса, на территории муниципального района Красноярский на 2022-2036 годы</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</si>
  <si>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объектов, на территории муниципального района Красноярский на 2022-2036 годы</t>
  </si>
  <si>
    <t>Инвестиционная программа от 22.05.2020 Общество с ограниченной ответственностью «Кинельская теплоэнергетическая компания» в сфере теплоснабжения по модернизации, реконструкции и техническому перевооружению объектов, на территории городского округа Кинель на 2022-2030 годы</t>
  </si>
  <si>
    <t>Инвестиционная программа от 28.10.2021 Филиал "Самарский" ПАО "Т Плюс" в сфере теплоснабжения по модернизации, реконструкции и техническому перевооружению объектов на 2022 год</t>
  </si>
  <si>
    <t>TER_NAME</t>
  </si>
  <si>
    <t>Территория 1</t>
  </si>
  <si>
    <t>ID_TARIFF_NAME</t>
  </si>
  <si>
    <t>TARIFF_NAME</t>
  </si>
  <si>
    <t>VED_NAME</t>
  </si>
  <si>
    <t>4190065</t>
  </si>
  <si>
    <t>4190066</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</si>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</sst>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03" formatCode="_-* #,##0.00\ _₽_-;\-* #,##0.00\ _₽_-;_-* &quot;-&quot;??\ _₽_-;_-@_-"/>
    <numFmt numFmtId="304" formatCode="_-* #,##0\ _₽_-;\-* #,##0\ _₽_-;_-* &quot;-&quot;\ _₽_-;_-@_-"/>
    <numFmt numFmtId="305" formatCode="_-* #,##0.00\ &quot;₽&quot;_-;\-* #,##0.00\ &quot;₽&quot;_-;_-* &quot;-&quot;??\ &quot;₽&quot;_-;_-@_-"/>
    <numFmt numFmtId="306" formatCode="_-* #,##0\ &quot;₽&quot;_-;\-* #,##0\ &quot;₽&quot;_-;_-* &quot;-&quot;\ &quot;₽&quot;_-;_-@_-"/>
    <numFmt numFmtId="307" formatCode="_-* #,##0.00[$€-1]_-;\-* #,##0.00[$€-1]_-;_-* &quot;-&quot;??[$€-1]_-"/>
    <numFmt numFmtId="308" formatCode="#,##0.0"/>
    <numFmt numFmtId="309" formatCode="#,##0.000"/>
    <numFmt numFmtId="310" formatCode="#,##0.0000"/>
    <numFmt numFmtId="311" formatCode="dd\.mm\.yyyy"/>
    <numFmt numFmtId="312" formatCode="000000"/>
    <numFmt numFmtId="31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03" fontId="6" fillId="0" borderId="0" applyFont="0" applyFill="0" applyBorder="0" applyNumberFormat="1">
      <alignment vertical="top"/>
    </xf>
    <xf numFmtId="304" fontId="6" fillId="0" borderId="0" applyFont="0" applyFill="0" applyBorder="0" applyNumberFormat="1">
      <alignment vertical="top"/>
    </xf>
    <xf numFmtId="305" fontId="6" fillId="0" borderId="0" applyFont="0" applyFill="0" applyBorder="0" applyNumberFormat="1">
      <alignment vertical="top"/>
    </xf>
    <xf numFmtId="30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07" fontId="20" fillId="0" borderId="0" applyFont="1" applyFill="0" applyBorder="0" applyNumberFormat="1"/>
    <xf numFmtId="38" fontId="21" fillId="0" borderId="0" applyFont="1" applyFill="0" applyBorder="0" applyNumberFormat="1">
      <alignment vertical="top"/>
    </xf>
    <xf numFmtId="308" fontId="22" fillId="33" borderId="0" applyFont="1" applyFill="1" applyBorder="0" applyNumberFormat="1">
      <protection locked="0"/>
    </xf>
    <xf numFmtId="0" fontId="23" fillId="0" borderId="0" applyFont="1" applyFill="0" applyBorder="0">
      <alignment vertical="center"/>
    </xf>
    <xf numFmtId="309" fontId="22" fillId="33" borderId="0" applyFont="1" applyFill="1" applyBorder="0" applyNumberFormat="1">
      <protection locked="0"/>
    </xf>
    <xf numFmtId="31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19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03" fontId="6" fillId="0" borderId="0" xfId="28" applyFont="0" applyNumberFormat="1">
      <alignment vertical="top"/>
    </xf>
    <xf numFmtId="304" fontId="6" fillId="0" borderId="0" xfId="29" applyFont="0" applyNumberFormat="1">
      <alignment vertical="top"/>
    </xf>
    <xf numFmtId="305" fontId="6" fillId="0" borderId="0" xfId="30" applyFont="0" applyNumberFormat="1">
      <alignment vertical="top"/>
    </xf>
    <xf numFmtId="30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07" fontId="20" fillId="0" borderId="0" xfId="49" applyFont="1" applyNumberFormat="1"/>
    <xf numFmtId="38" fontId="21" fillId="0" borderId="0" xfId="50" applyFont="1" applyNumberFormat="1">
      <alignment vertical="top"/>
    </xf>
    <xf numFmtId="308" fontId="22" fillId="33" borderId="0" xfId="51" applyFont="1" applyFill="1" applyNumberFormat="1">
      <protection locked="0"/>
    </xf>
    <xf numFmtId="0" fontId="23" fillId="0" borderId="0" xfId="52" applyFont="1">
      <alignment vertical="center"/>
    </xf>
    <xf numFmtId="309" fontId="22" fillId="33" borderId="0" xfId="53" applyFont="1" applyFill="1" applyNumberFormat="1">
      <protection locked="0"/>
    </xf>
    <xf numFmtId="31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1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0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1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1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1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1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1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10" fontId="22" fillId="39" borderId="13" xfId="0" applyFont="1" applyFill="1" applyBorder="1" applyNumberFormat="1">
      <alignment horizontal="right" vertical="center" wrapText="1"/>
      <protection locked="0"/>
    </xf>
    <xf numFmtId="31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0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0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0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09" fontId="47" fillId="0" borderId="12" xfId="0" applyFont="1" applyBorder="1" applyNumberFormat="1">
      <alignment horizontal="right" vertical="center" wrapText="1"/>
    </xf>
    <xf numFmtId="30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0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1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1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1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11" fontId="0" fillId="39" borderId="12" xfId="0" applyFont="1" applyFill="1" applyBorder="1" applyNumberFormat="1">
      <alignment horizontal="left" vertical="center" wrapText="1" indent="1"/>
      <protection locked="0"/>
    </xf>
    <xf numFmtId="311" fontId="0" fillId="0" borderId="12" xfId="0" applyFont="1" applyBorder="1" applyNumberFormat="1">
      <alignment horizontal="left" vertical="center" wrapText="1" indent="1"/>
    </xf>
    <xf numFmtId="311" fontId="0" fillId="39" borderId="12" xfId="0" applyFont="1" applyFill="1" applyBorder="1" applyNumberFormat="1">
      <alignment horizontal="center" vertical="center" wrapText="1"/>
      <protection locked="0"/>
    </xf>
    <xf numFmtId="311" fontId="47" fillId="0" borderId="0" xfId="0" applyFont="1" applyNumberFormat="1">
      <alignment horizontal="center" vertical="center" wrapText="1"/>
    </xf>
    <xf numFmtId="311" fontId="47" fillId="0" borderId="12" xfId="0" applyFont="1" applyBorder="1" applyNumberFormat="1">
      <alignment horizontal="center" vertical="center" wrapText="1"/>
    </xf>
    <xf numFmtId="311" fontId="0" fillId="39" borderId="12" xfId="0" applyFont="1" applyFill="1" applyBorder="1" applyNumberFormat="1">
      <alignment horizontal="left" vertical="center" wrapText="1"/>
      <protection locked="0"/>
    </xf>
    <xf numFmtId="311" fontId="0" fillId="36" borderId="12" xfId="0" applyFont="1" applyFill="1" applyBorder="1" applyNumberFormat="1">
      <alignment horizontal="left" vertical="center" wrapText="1" indent="1"/>
      <protection locked="0"/>
    </xf>
    <xf numFmtId="31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11" fontId="0" fillId="39" borderId="14" xfId="0" applyFont="1" applyFill="1" applyBorder="1" applyNumberFormat="1">
      <alignment horizontal="left" vertical="center" wrapText="1"/>
      <protection locked="0"/>
    </xf>
    <xf numFmtId="31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1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1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1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12" fontId="44" fillId="0" borderId="19" xfId="0" applyFont="1" applyBorder="1" applyNumberFormat="1">
      <alignment horizontal="center" vertical="center" wrapText="1"/>
    </xf>
    <xf numFmtId="312" fontId="44" fillId="0" borderId="20" xfId="0" applyFont="1" applyBorder="1" applyNumberFormat="1">
      <alignment horizontal="center" vertical="center" wrapText="1"/>
    </xf>
    <xf numFmtId="313" fontId="22" fillId="39" borderId="12" xfId="0" applyFont="1" applyFill="1" applyBorder="1" applyNumberFormat="1">
      <alignment horizontal="left" vertical="center" wrapText="1" indent="1"/>
      <protection locked="0"/>
    </xf>
    <xf numFmtId="31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1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1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0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11" fontId="22" fillId="34" borderId="12" xfId="0" applyFont="1" applyFill="1" applyBorder="1" applyNumberFormat="1">
      <alignment horizontal="left" vertical="center" wrapText="1" indent="1"/>
    </xf>
    <xf numFmtId="31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1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1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1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12" fontId="22" fillId="0" borderId="17" xfId="0" applyFont="1" applyBorder="1" applyNumberFormat="1">
      <alignment horizontal="center" vertical="center" wrapText="1"/>
    </xf>
    <xf numFmtId="312" fontId="22" fillId="0" borderId="23" xfId="0" applyFont="1" applyBorder="1" applyNumberFormat="1">
      <alignment horizontal="center" vertical="center" wrapText="1"/>
    </xf>
    <xf numFmtId="312" fontId="22" fillId="0" borderId="14" xfId="0" applyFont="1" applyBorder="1" applyNumberFormat="1">
      <alignment horizontal="center" vertical="center" wrapText="1"/>
    </xf>
    <xf numFmtId="312" fontId="22" fillId="0" borderId="15" xfId="0" applyFont="1" applyBorder="1" applyNumberFormat="1">
      <alignment horizontal="center" vertical="center" wrapText="1"/>
    </xf>
    <xf numFmtId="31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12" fontId="22" fillId="0" borderId="36" xfId="0" applyFont="1" applyBorder="1" applyNumberFormat="1">
      <alignment horizontal="center" vertical="center" wrapText="1"/>
    </xf>
    <xf numFmtId="312" fontId="22" fillId="0" borderId="12" xfId="0" applyFont="1" applyBorder="1" applyNumberFormat="1">
      <alignment horizontal="center" vertical="center" wrapText="1"/>
    </xf>
    <xf numFmtId="31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1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1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1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311"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75" fillId="40" borderId="12" xfId="0" applyFont="1" applyFill="1" applyBorder="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6285A-447F-B196-8E73-0.D628896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3195" width="5.421875" customWidth="1"/>
    <col min="2" max="2" style="3195" width="9.140625" customWidth="1"/>
    <col min="3" max="3" style="3195" width="16.421875" customWidth="1"/>
    <col min="4" max="25" style="3195" width="6.28125" customWidth="1"/>
    <col min="26" max="28" style="3195"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F4CDD-DAFB-D0F7-192D-0.4920DF9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83</v>
      </c>
      <c r="H1" s="498" t="s">
        <v>84</v>
      </c>
      <c r="I1" s="498" t="s">
        <v>85</v>
      </c>
      <c r="P1" s="498" t="s">
        <v>83</v>
      </c>
      <c r="Q1" s="498" t="s">
        <v>84</v>
      </c>
      <c r="R1" s="498" t="s">
        <v>85</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461</v>
      </c>
      <c r="F4" s="2247"/>
      <c r="G4" s="2248"/>
      <c r="H4" s="2248"/>
      <c r="I4" s="2249"/>
      <c r="J4" s="500"/>
      <c r="K4" s="462"/>
      <c r="L4" s="462"/>
      <c r="W4" s="456">
        <v>22</v>
      </c>
    </row>
    <row s="1644" customFormat="1" customHeight="1" ht="18">
      <c r="A5" s="768"/>
      <c r="D5" s="831"/>
      <c r="E5" s="2223" t="str">
        <f>IF(org=0,"Не определено",org)</f>
        <v>ООО "СамРЭК-Тепло Жигулевск"</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373</v>
      </c>
      <c r="F7" s="2217"/>
      <c r="G7" s="2218"/>
      <c r="H7" s="2218"/>
      <c r="I7" s="2218"/>
      <c r="J7" s="2218"/>
      <c r="K7" s="2218"/>
      <c r="L7" s="2232" t="s">
        <v>374</v>
      </c>
      <c r="W7" s="456">
        <v>14</v>
      </c>
    </row>
    <row customHeight="1" ht="48.29999999999999">
      <c r="D8" s="459"/>
      <c r="E8" s="482" t="s">
        <v>88</v>
      </c>
      <c r="F8" s="832"/>
      <c r="G8" s="474" t="s">
        <v>86</v>
      </c>
      <c r="H8" s="474" t="s">
        <v>87</v>
      </c>
      <c r="I8" s="423" t="s">
        <v>85</v>
      </c>
      <c r="J8" s="423" t="s">
        <v>462</v>
      </c>
      <c r="K8" s="423" t="s">
        <v>463</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464</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66</v>
      </c>
      <c r="K12" s="1173" t="s">
        <v>22</v>
      </c>
      <c r="L12" s="2250"/>
      <c r="M12" s="520"/>
      <c r="N12" s="520"/>
      <c r="O12" s="520"/>
      <c r="P12" s="525" t="s">
        <v>465</v>
      </c>
      <c r="Q12" s="525" t="s">
        <v>466</v>
      </c>
      <c r="R12" s="526" t="s">
        <v>467</v>
      </c>
      <c r="S12" s="520" t="s">
        <v>468</v>
      </c>
      <c r="T12" s="520"/>
      <c r="U12" s="520"/>
      <c r="V12" s="520"/>
      <c r="W12" s="489">
        <v>14</v>
      </c>
    </row>
    <row customHeight="1" ht="15.75">
      <c r="A13" s="2108"/>
      <c r="B13" s="514"/>
      <c r="D13" s="515"/>
      <c r="E13" s="414"/>
      <c r="F13" s="538"/>
      <c r="G13" s="425" t="s">
        <v>102</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82</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D09A2A-CA34-E267-EBEF-0.50BEB41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472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474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475</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476</v>
      </c>
      <c r="M6" s="546"/>
      <c r="P6" s="2266">
        <v>1</v>
      </c>
      <c r="Q6" s="1314"/>
      <c r="R6" s="365"/>
      <c r="S6" s="1318">
        <f>$I6</f>
      </c>
      <c r="T6" s="294" t="s">
        <v>477</v>
      </c>
      <c r="U6" s="309"/>
      <c r="V6" s="2254"/>
      <c r="W6" s="2255"/>
      <c r="X6" s="2255"/>
      <c r="Y6" s="2255"/>
      <c r="Z6" s="2255"/>
      <c r="AA6" s="2255"/>
      <c r="AB6" s="2255"/>
      <c r="AC6" s="2256"/>
      <c r="AD6" s="2254"/>
      <c r="AE6" s="2255"/>
      <c r="AF6" s="2255"/>
      <c r="AG6" s="2255"/>
      <c r="AH6" s="2255"/>
      <c r="AI6" s="2255"/>
      <c r="AJ6" s="2255"/>
      <c r="AK6" s="2255"/>
      <c r="AL6" s="2256"/>
      <c r="AM6" s="1267" t="s">
        <v>478</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479</v>
      </c>
      <c r="M7" s="546"/>
      <c r="N7" s="1375"/>
      <c r="P7" s="2266"/>
      <c r="Q7" s="2266">
        <v>1</v>
      </c>
      <c r="R7" s="366"/>
      <c r="S7" s="1318">
        <f>$J7</f>
      </c>
      <c r="T7" s="295" t="s">
        <v>480</v>
      </c>
      <c r="U7" s="309"/>
      <c r="V7" s="2254"/>
      <c r="W7" s="2255"/>
      <c r="X7" s="2255"/>
      <c r="Y7" s="2255"/>
      <c r="Z7" s="2255"/>
      <c r="AA7" s="2255"/>
      <c r="AB7" s="2255"/>
      <c r="AC7" s="2256"/>
      <c r="AD7" s="2254"/>
      <c r="AE7" s="2255"/>
      <c r="AF7" s="2255"/>
      <c r="AG7" s="2255"/>
      <c r="AH7" s="2255"/>
      <c r="AI7" s="2255"/>
      <c r="AJ7" s="2255"/>
      <c r="AK7" s="2255"/>
      <c r="AL7" s="2256"/>
      <c r="AM7" s="1267" t="s">
        <v>481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482</v>
      </c>
      <c r="M8" s="546"/>
      <c r="N8" s="1375"/>
      <c r="O8" s="1375"/>
      <c r="P8" s="2266"/>
      <c r="Q8" s="2266"/>
      <c r="R8" s="366">
        <v>1</v>
      </c>
      <c r="S8" s="1318">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486</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66</v>
      </c>
      <c r="AJ17" s="2276"/>
      <c r="AK17" s="2277" t="s">
        <v>66</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491</v>
      </c>
      <c r="P22" s="1371"/>
      <c r="Q22" s="1380"/>
      <c r="R22" s="1380"/>
      <c r="S22" s="738"/>
      <c r="T22" s="1169" t="s">
        <v>492</v>
      </c>
      <c r="AA22" s="195" t="s">
        <v>493</v>
      </c>
      <c r="AC22" s="195" t="s">
        <v>494</v>
      </c>
      <c r="AD22" s="1169" t="s">
        <v>492</v>
      </c>
      <c r="AI22" s="195" t="s">
        <v>495</v>
      </c>
      <c r="AK22" s="195" t="s">
        <v>494</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500</v>
      </c>
      <c r="AD36" s="335"/>
      <c r="AE36" s="335"/>
      <c r="AF36" s="335"/>
      <c r="AG36" s="335"/>
      <c r="AH36" s="335"/>
      <c r="AI36" s="335"/>
      <c r="AJ36" s="335"/>
      <c r="AK36" s="287" t="s">
        <v>500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164">
        <v>14</v>
      </c>
    </row>
    <row customHeight="1" ht="14.699999999999998">
      <c r="Q39" s="385"/>
      <c r="R39" s="385"/>
      <c r="S39" s="2282" t="s">
        <v>88</v>
      </c>
      <c r="T39" s="2218" t="s">
        <v>501</v>
      </c>
      <c r="U39" s="310"/>
      <c r="V39" s="2283" t="s">
        <v>502</v>
      </c>
      <c r="W39" s="2284"/>
      <c r="X39" s="2284"/>
      <c r="Y39" s="2284"/>
      <c r="Z39" s="2284"/>
      <c r="AA39" s="2284"/>
      <c r="AB39" s="2285"/>
      <c r="AC39" s="2286" t="s">
        <v>503</v>
      </c>
      <c r="AD39" s="2283" t="s">
        <v>502</v>
      </c>
      <c r="AE39" s="2284"/>
      <c r="AF39" s="2284"/>
      <c r="AG39" s="2284"/>
      <c r="AH39" s="2284"/>
      <c r="AI39" s="2284"/>
      <c r="AJ39" s="2285"/>
      <c r="AK39" s="2286" t="s">
        <v>504</v>
      </c>
      <c r="AL39" s="2289" t="s">
        <v>505</v>
      </c>
      <c r="AM39" s="2136"/>
      <c r="AS39" s="1164">
        <v>14</v>
      </c>
    </row>
    <row customHeight="1" ht="35.699999999999996">
      <c r="Q40" s="385"/>
      <c r="R40" s="385"/>
      <c r="S40" s="2282"/>
      <c r="T40" s="2218"/>
      <c r="U40" s="1040"/>
      <c r="V40" s="2269" t="s">
        <v>506</v>
      </c>
      <c r="W40" s="2619" t="s">
        <v>507</v>
      </c>
      <c r="X40" s="2271" t="s">
        <v>508</v>
      </c>
      <c r="Y40" s="2272"/>
      <c r="Z40" s="2271" t="s">
        <v>509</v>
      </c>
      <c r="AA40" s="2278"/>
      <c r="AB40" s="2272"/>
      <c r="AC40" s="2287"/>
      <c r="AD40" s="2269" t="s">
        <v>506</v>
      </c>
      <c r="AE40" s="2292" t="s">
        <v>507</v>
      </c>
      <c r="AF40" s="2271" t="s">
        <v>508</v>
      </c>
      <c r="AG40" s="2272"/>
      <c r="AH40" s="2271" t="s">
        <v>509</v>
      </c>
      <c r="AI40" s="2278"/>
      <c r="AJ40" s="2272"/>
      <c r="AK40" s="2287"/>
      <c r="AL40" s="2290"/>
      <c r="AM40" s="2136"/>
      <c r="AS40" s="1164">
        <v>34</v>
      </c>
    </row>
    <row customHeight="1" ht="35.699999999999996">
      <c r="A41" s="1379"/>
      <c r="B41" s="1379" t="s">
        <v>216</v>
      </c>
      <c r="C41" s="1379" t="s">
        <v>217</v>
      </c>
      <c r="D41" s="1379" t="s">
        <v>218</v>
      </c>
      <c r="E41" s="1373" t="s">
        <v>510</v>
      </c>
      <c r="F41" s="1373" t="s">
        <v>511</v>
      </c>
      <c r="G41" s="1373" t="s">
        <v>512</v>
      </c>
      <c r="H41" s="1373" t="s">
        <v>513</v>
      </c>
      <c r="I41" s="1373" t="s">
        <v>514</v>
      </c>
      <c r="J41" s="1373" t="s">
        <v>515</v>
      </c>
      <c r="K41" s="1373" t="s">
        <v>516</v>
      </c>
      <c r="L41" s="1373" t="s">
        <v>491</v>
      </c>
      <c r="Q41" s="385"/>
      <c r="R41" s="385"/>
      <c r="S41" s="2282"/>
      <c r="T41" s="2218"/>
      <c r="U41" s="311"/>
      <c r="V41" s="2270"/>
      <c r="W41" s="2293"/>
      <c r="X41" s="1231" t="s">
        <v>517</v>
      </c>
      <c r="Y41" s="1231" t="s">
        <v>518</v>
      </c>
      <c r="Z41" s="1230" t="s">
        <v>519</v>
      </c>
      <c r="AA41" s="2279" t="s">
        <v>520</v>
      </c>
      <c r="AB41" s="2280"/>
      <c r="AC41" s="2288"/>
      <c r="AD41" s="2270"/>
      <c r="AE41" s="2293"/>
      <c r="AF41" s="1231" t="s">
        <v>517</v>
      </c>
      <c r="AG41" s="1231" t="s">
        <v>518</v>
      </c>
      <c r="AH41" s="1322" t="s">
        <v>519</v>
      </c>
      <c r="AI41" s="2279" t="s">
        <v>520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231</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231</v>
      </c>
      <c r="B44" s="1372" t="s">
        <v>232</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509"/>
      <c r="AP44" s="509" t="str">
        <f>IF(T44="","",T44)</f>
        <v>Территория действия тарифа</v>
      </c>
      <c r="AQ44" s="509"/>
      <c r="AR44" s="509"/>
      <c r="AS44" s="1164">
        <v>23</v>
      </c>
    </row>
    <row customHeight="1" ht="24">
      <c r="A45" s="1372" t="s">
        <v>231</v>
      </c>
      <c r="B45" s="1372" t="s">
        <v>232</v>
      </c>
      <c r="C45" s="1372" t="s">
        <v>233</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509"/>
      <c r="AP45" s="509" t="str">
        <f>IF(T45="","",T45)</f>
        <v>Наименование системы теплоснабжения </v>
      </c>
      <c r="AQ45" s="509"/>
      <c r="AR45" s="509"/>
      <c r="AS45" s="1164">
        <v>23</v>
      </c>
    </row>
    <row customHeight="1" ht="24">
      <c r="A46" s="1372" t="s">
        <v>231</v>
      </c>
      <c r="B46" s="1372" t="s">
        <v>232</v>
      </c>
      <c r="C46" s="1372" t="s">
        <v>233</v>
      </c>
      <c r="D46" s="1372" t="s">
        <v>234</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509"/>
      <c r="AP46" s="509" t="str">
        <f>IF(T46="","",T46)</f>
        <v>Источник тепловой энергии  </v>
      </c>
      <c r="AQ46" s="509"/>
      <c r="AR46" s="509"/>
      <c r="AS46" s="1164">
        <v>23</v>
      </c>
    </row>
    <row customHeight="1" ht="49.5">
      <c r="A47" s="1372" t="s">
        <v>231</v>
      </c>
      <c r="B47" s="1372" t="s">
        <v>232</v>
      </c>
      <c r="C47" s="1372" t="s">
        <v>233</v>
      </c>
      <c r="D47" s="1372" t="s">
        <v>234</v>
      </c>
      <c r="E47" s="2268"/>
      <c r="F47" s="2268"/>
      <c r="G47" s="2268"/>
      <c r="H47" s="2268"/>
      <c r="I47" s="2265" t="str">
        <f>S46&amp;".1"</f>
        <v>....1</v>
      </c>
      <c r="J47" s="1372"/>
      <c r="K47" s="1372"/>
      <c r="L47" s="1373" t="s">
        <v>476</v>
      </c>
      <c r="P47" s="2266">
        <v>1</v>
      </c>
      <c r="Q47" s="1229"/>
      <c r="R47" s="365"/>
      <c r="S47" s="1233" t="str">
        <f>$I47</f>
        <v>....1</v>
      </c>
      <c r="T47" s="294" t="s">
        <v>477</v>
      </c>
      <c r="U47" s="309"/>
      <c r="V47" s="2254"/>
      <c r="W47" s="2255"/>
      <c r="X47" s="2255"/>
      <c r="Y47" s="2255"/>
      <c r="Z47" s="2255"/>
      <c r="AA47" s="2255"/>
      <c r="AB47" s="2255"/>
      <c r="AC47" s="2256"/>
      <c r="AD47" s="2254"/>
      <c r="AE47" s="2255"/>
      <c r="AF47" s="2255"/>
      <c r="AG47" s="2255"/>
      <c r="AH47" s="2255"/>
      <c r="AI47" s="2255"/>
      <c r="AJ47" s="2255"/>
      <c r="AK47" s="2255"/>
      <c r="AL47" s="2256"/>
      <c r="AM47" s="1267" t="s">
        <v>478</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231</v>
      </c>
      <c r="B48" s="1372" t="s">
        <v>232</v>
      </c>
      <c r="C48" s="1372" t="s">
        <v>233</v>
      </c>
      <c r="D48" s="1372" t="s">
        <v>234</v>
      </c>
      <c r="E48" s="2268"/>
      <c r="F48" s="2268"/>
      <c r="G48" s="2268"/>
      <c r="H48" s="2268"/>
      <c r="I48" s="2295"/>
      <c r="J48" s="2265" t="str">
        <f>I47&amp;".1"</f>
        <v>....1.1</v>
      </c>
      <c r="K48" s="1372"/>
      <c r="L48" s="1373" t="s">
        <v>479</v>
      </c>
      <c r="P48" s="2266"/>
      <c r="Q48" s="2266">
        <v>1</v>
      </c>
      <c r="R48" s="366"/>
      <c r="S48" s="1233" t="str">
        <f>$J48</f>
        <v>....1.1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509"/>
      <c r="AP48" s="509" t="str">
        <f>IF(T48="","",T48)</f>
        <v>Группа потребителей</v>
      </c>
      <c r="AQ48" s="509"/>
      <c r="AR48" s="509"/>
      <c r="AS48" s="1164">
        <v>23</v>
      </c>
    </row>
    <row customHeight="1" ht="24">
      <c r="A49" s="1372" t="s">
        <v>231</v>
      </c>
      <c r="B49" s="1372" t="s">
        <v>232</v>
      </c>
      <c r="C49" s="1372" t="s">
        <v>233</v>
      </c>
      <c r="D49" s="1372" t="s">
        <v>234</v>
      </c>
      <c r="E49" s="2268"/>
      <c r="F49" s="2268"/>
      <c r="G49" s="2268"/>
      <c r="H49" s="2268"/>
      <c r="I49" s="2295"/>
      <c r="J49" s="2295"/>
      <c r="K49" s="2265" t="str">
        <f>J48&amp;".1"</f>
        <v>....1.1.1</v>
      </c>
      <c r="L49" s="1373" t="s">
        <v>482</v>
      </c>
      <c r="P49" s="2266"/>
      <c r="Q49" s="2266"/>
      <c r="R49" s="366">
        <v>1</v>
      </c>
      <c r="S49" s="1233"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483</v>
      </c>
      <c r="AN49" s="520">
        <f>STRCHECKDATE(V50:AL50)</f>
      </c>
      <c r="AO49" s="509"/>
      <c r="AP49" s="509" t="str">
        <f>IF(T49="","",T49)</f>
        <v/>
      </c>
      <c r="AQ49" s="509"/>
      <c r="AR49" s="509"/>
      <c r="AS49" s="1164">
        <v>23</v>
      </c>
    </row>
    <row customHeight="1" ht="1.05">
      <c r="A50" s="1372" t="s">
        <v>231</v>
      </c>
      <c r="B50" s="1372" t="s">
        <v>232</v>
      </c>
      <c r="C50" s="1372" t="s">
        <v>233</v>
      </c>
      <c r="D50" s="1372" t="s">
        <v>234</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231</v>
      </c>
      <c r="B51" s="1372" t="s">
        <v>232</v>
      </c>
      <c r="C51" s="1372" t="s">
        <v>233</v>
      </c>
      <c r="D51" s="1372" t="s">
        <v>234</v>
      </c>
      <c r="E51" s="2268"/>
      <c r="F51" s="2268"/>
      <c r="G51" s="2268"/>
      <c r="H51" s="2268"/>
      <c r="I51" s="2295"/>
      <c r="J51" s="2265"/>
      <c r="K51" s="1372"/>
      <c r="L51" s="1373"/>
      <c r="P51" s="2266"/>
      <c r="Q51" s="2266"/>
      <c r="R51" s="365"/>
      <c r="S51" s="1287"/>
      <c r="T51" s="297" t="s">
        <v>484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231</v>
      </c>
      <c r="B52" s="1372" t="s">
        <v>232</v>
      </c>
      <c r="C52" s="1372" t="s">
        <v>233</v>
      </c>
      <c r="D52" s="1372" t="s">
        <v>234</v>
      </c>
      <c r="E52" s="2268"/>
      <c r="F52" s="2268"/>
      <c r="G52" s="2268"/>
      <c r="H52" s="2268"/>
      <c r="I52" s="2265"/>
      <c r="J52" s="1372"/>
      <c r="K52" s="1372"/>
      <c r="L52" s="1373"/>
      <c r="P52" s="2266"/>
      <c r="Q52" s="1229"/>
      <c r="R52" s="365"/>
      <c r="S52" s="1287"/>
      <c r="T52" s="296" t="s">
        <v>485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231</v>
      </c>
      <c r="B53" s="1372" t="s">
        <v>232</v>
      </c>
      <c r="C53" s="1372" t="s">
        <v>233</v>
      </c>
      <c r="D53" s="1372" t="s">
        <v>234</v>
      </c>
      <c r="E53" s="2268"/>
      <c r="F53" s="2268"/>
      <c r="G53" s="2268"/>
      <c r="H53" s="2267"/>
      <c r="I53" s="1372"/>
      <c r="J53" s="1372"/>
      <c r="K53" s="1372"/>
      <c r="L53" s="1373"/>
      <c r="M53" s="1374"/>
      <c r="N53" s="1374"/>
      <c r="O53" s="546"/>
      <c r="P53" s="369"/>
      <c r="Q53" s="384"/>
      <c r="R53" s="364"/>
      <c r="S53" s="1287"/>
      <c r="T53" s="374" t="s">
        <v>486</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231</v>
      </c>
      <c r="B54" s="1352" t="s">
        <v>232</v>
      </c>
      <c r="C54" s="1352" t="s">
        <v>233</v>
      </c>
      <c r="D54" s="1323"/>
      <c r="E54" s="2268"/>
      <c r="F54" s="2268"/>
      <c r="G54" s="2267"/>
      <c r="H54" s="1323"/>
      <c r="I54" s="1323"/>
      <c r="J54" s="1323"/>
      <c r="K54" s="1323"/>
      <c r="L54" s="1348"/>
      <c r="M54" s="1324"/>
      <c r="N54" s="1324"/>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231</v>
      </c>
      <c r="B55" s="1352" t="s">
        <v>232</v>
      </c>
      <c r="C55" s="1323"/>
      <c r="D55" s="1323"/>
      <c r="E55" s="2268"/>
      <c r="F55" s="2267"/>
      <c r="G55" s="1323"/>
      <c r="H55" s="1323"/>
      <c r="I55" s="1323"/>
      <c r="J55" s="1323"/>
      <c r="K55" s="1323"/>
      <c r="L55" s="1348"/>
      <c r="M55" s="1330"/>
      <c r="N55" s="1330"/>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231</v>
      </c>
      <c r="B56" s="1352"/>
      <c r="C56" s="1352"/>
      <c r="D56" s="1352"/>
      <c r="E56" s="2267"/>
      <c r="F56" s="1352"/>
      <c r="G56" s="1352"/>
      <c r="H56" s="1352"/>
      <c r="I56" s="1352"/>
      <c r="J56" s="1352"/>
      <c r="K56" s="1352"/>
      <c r="L56" s="1355"/>
      <c r="M56" s="1330"/>
      <c r="N56" s="1330"/>
      <c r="O56" s="527"/>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DB9B8-0B6E-08E1-F03A-0.19004AA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475</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476</v>
      </c>
      <c r="M6" s="546"/>
      <c r="P6" s="2266">
        <v>1</v>
      </c>
      <c r="Q6" s="1340"/>
      <c r="R6" s="365"/>
      <c r="S6" s="1345">
        <f>$I6</f>
      </c>
      <c r="T6" s="294" t="s">
        <v>477</v>
      </c>
      <c r="U6" s="309"/>
      <c r="V6" s="2254"/>
      <c r="W6" s="2255"/>
      <c r="X6" s="2255"/>
      <c r="Y6" s="2255"/>
      <c r="Z6" s="2255"/>
      <c r="AA6" s="2255"/>
      <c r="AB6" s="2255"/>
      <c r="AC6" s="2256"/>
      <c r="AD6" s="2254"/>
      <c r="AE6" s="2255"/>
      <c r="AF6" s="2255"/>
      <c r="AG6" s="2255"/>
      <c r="AH6" s="2255"/>
      <c r="AI6" s="2255"/>
      <c r="AJ6" s="2255"/>
      <c r="AK6" s="2255"/>
      <c r="AL6" s="2256"/>
      <c r="AM6" s="1267" t="s">
        <v>478</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479</v>
      </c>
      <c r="M7" s="546"/>
      <c r="N7" s="1375"/>
      <c r="P7" s="2266"/>
      <c r="Q7" s="2266">
        <v>1</v>
      </c>
      <c r="R7" s="366"/>
      <c r="S7" s="1345">
        <f>$J7</f>
      </c>
      <c r="T7" s="295" t="s">
        <v>480</v>
      </c>
      <c r="U7" s="309"/>
      <c r="V7" s="2254"/>
      <c r="W7" s="2255"/>
      <c r="X7" s="2255"/>
      <c r="Y7" s="2255"/>
      <c r="Z7" s="2255"/>
      <c r="AA7" s="2255"/>
      <c r="AB7" s="2255"/>
      <c r="AC7" s="2256"/>
      <c r="AD7" s="2254"/>
      <c r="AE7" s="2255"/>
      <c r="AF7" s="2255"/>
      <c r="AG7" s="2255"/>
      <c r="AH7" s="2255"/>
      <c r="AI7" s="2255"/>
      <c r="AJ7" s="2255"/>
      <c r="AK7" s="2255"/>
      <c r="AL7" s="2256"/>
      <c r="AM7" s="1267" t="s">
        <v>481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482</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486</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491</v>
      </c>
      <c r="P22" s="1371"/>
      <c r="Q22" s="1380"/>
      <c r="R22" s="1380"/>
      <c r="S22" s="738"/>
      <c r="T22" s="1169" t="s">
        <v>492</v>
      </c>
      <c r="AA22" s="195" t="s">
        <v>493</v>
      </c>
      <c r="AC22" s="195" t="s">
        <v>494</v>
      </c>
      <c r="AD22" s="1169" t="s">
        <v>492</v>
      </c>
      <c r="AI22" s="195" t="s">
        <v>495</v>
      </c>
      <c r="AK22" s="195" t="s">
        <v>494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500</v>
      </c>
      <c r="AD36" s="335"/>
      <c r="AE36" s="335"/>
      <c r="AF36" s="335"/>
      <c r="AG36" s="335"/>
      <c r="AH36" s="335"/>
      <c r="AI36" s="335"/>
      <c r="AJ36" s="335"/>
      <c r="AK36" s="287" t="s">
        <v>500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164">
        <v>14</v>
      </c>
    </row>
    <row customHeight="1" ht="14.699999999999998">
      <c r="Q39" s="385"/>
      <c r="R39" s="385"/>
      <c r="S39" s="2282" t="s">
        <v>88</v>
      </c>
      <c r="T39" s="2218" t="s">
        <v>501</v>
      </c>
      <c r="U39" s="310"/>
      <c r="V39" s="2283" t="s">
        <v>502</v>
      </c>
      <c r="W39" s="2284"/>
      <c r="X39" s="2284"/>
      <c r="Y39" s="2284"/>
      <c r="Z39" s="2284"/>
      <c r="AA39" s="2284"/>
      <c r="AB39" s="2285"/>
      <c r="AC39" s="2286" t="s">
        <v>503</v>
      </c>
      <c r="AD39" s="2283" t="s">
        <v>502</v>
      </c>
      <c r="AE39" s="2284"/>
      <c r="AF39" s="2284"/>
      <c r="AG39" s="2284"/>
      <c r="AH39" s="2284"/>
      <c r="AI39" s="2284"/>
      <c r="AJ39" s="2285"/>
      <c r="AK39" s="2286" t="s">
        <v>504</v>
      </c>
      <c r="AL39" s="2289" t="s">
        <v>505</v>
      </c>
      <c r="AM39" s="2136"/>
      <c r="AS39" s="1164">
        <v>14</v>
      </c>
    </row>
    <row customHeight="1" ht="35.699999999999996">
      <c r="Q40" s="385"/>
      <c r="R40" s="385"/>
      <c r="S40" s="2282"/>
      <c r="T40" s="2218"/>
      <c r="U40" s="1040"/>
      <c r="V40" s="2269" t="s">
        <v>506</v>
      </c>
      <c r="W40" s="2292" t="s">
        <v>507</v>
      </c>
      <c r="X40" s="2271" t="s">
        <v>508</v>
      </c>
      <c r="Y40" s="2272"/>
      <c r="Z40" s="2271" t="s">
        <v>522</v>
      </c>
      <c r="AA40" s="2278"/>
      <c r="AB40" s="2272"/>
      <c r="AC40" s="2287"/>
      <c r="AD40" s="2269" t="s">
        <v>506</v>
      </c>
      <c r="AE40" s="2292" t="s">
        <v>507</v>
      </c>
      <c r="AF40" s="2271" t="s">
        <v>508</v>
      </c>
      <c r="AG40" s="2272"/>
      <c r="AH40" s="2271" t="s">
        <v>509</v>
      </c>
      <c r="AI40" s="2278"/>
      <c r="AJ40" s="2272"/>
      <c r="AK40" s="2287"/>
      <c r="AL40" s="2290"/>
      <c r="AM40" s="2136"/>
      <c r="AS40" s="1164">
        <v>34</v>
      </c>
    </row>
    <row customHeight="1" ht="35.699999999999996">
      <c r="A41" s="1379"/>
      <c r="B41" s="1379" t="s">
        <v>216</v>
      </c>
      <c r="C41" s="1379" t="s">
        <v>217</v>
      </c>
      <c r="D41" s="1379" t="s">
        <v>218</v>
      </c>
      <c r="E41" s="1373" t="s">
        <v>510</v>
      </c>
      <c r="F41" s="1373" t="s">
        <v>511</v>
      </c>
      <c r="G41" s="1373" t="s">
        <v>512</v>
      </c>
      <c r="H41" s="1373" t="s">
        <v>513</v>
      </c>
      <c r="I41" s="1373" t="s">
        <v>514</v>
      </c>
      <c r="J41" s="1373" t="s">
        <v>515</v>
      </c>
      <c r="K41" s="1373" t="s">
        <v>516</v>
      </c>
      <c r="L41" s="1373" t="s">
        <v>491</v>
      </c>
      <c r="Q41" s="385"/>
      <c r="R41" s="385"/>
      <c r="S41" s="2282"/>
      <c r="T41" s="2218"/>
      <c r="U41" s="311"/>
      <c r="V41" s="2270"/>
      <c r="W41" s="2293"/>
      <c r="X41" s="1231" t="s">
        <v>517</v>
      </c>
      <c r="Y41" s="1231" t="s">
        <v>518</v>
      </c>
      <c r="Z41" s="1347" t="s">
        <v>519</v>
      </c>
      <c r="AA41" s="2279" t="s">
        <v>520</v>
      </c>
      <c r="AB41" s="2280"/>
      <c r="AC41" s="2288"/>
      <c r="AD41" s="2270"/>
      <c r="AE41" s="2293"/>
      <c r="AF41" s="1231" t="s">
        <v>517</v>
      </c>
      <c r="AG41" s="1231" t="s">
        <v>518</v>
      </c>
      <c r="AH41" s="1347" t="s">
        <v>519</v>
      </c>
      <c r="AI41" s="2279" t="s">
        <v>520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236</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236</v>
      </c>
      <c r="B44" s="1372" t="s">
        <v>237</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509"/>
      <c r="AP44" s="509" t="str">
        <f>IF(T44="","",T44)</f>
        <v>Территория действия тарифа</v>
      </c>
      <c r="AQ44" s="509"/>
      <c r="AR44" s="509"/>
      <c r="AS44" s="1164">
        <v>21</v>
      </c>
    </row>
    <row customHeight="1" ht="24">
      <c r="A45" s="1372" t="s">
        <v>236</v>
      </c>
      <c r="B45" s="1372" t="s">
        <v>237</v>
      </c>
      <c r="C45" s="1372" t="s">
        <v>238</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509"/>
      <c r="AP45" s="509" t="str">
        <f>IF(T45="","",T45)</f>
        <v>Наименование системы теплоснабжения </v>
      </c>
      <c r="AQ45" s="509"/>
      <c r="AR45" s="509"/>
      <c r="AS45" s="1164">
        <v>23</v>
      </c>
    </row>
    <row customHeight="1" ht="22.049999999999997">
      <c r="A46" s="1372" t="s">
        <v>236</v>
      </c>
      <c r="B46" s="1372" t="s">
        <v>237</v>
      </c>
      <c r="C46" s="1372" t="s">
        <v>238</v>
      </c>
      <c r="D46" s="1372" t="s">
        <v>239</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509"/>
      <c r="AP46" s="509" t="str">
        <f>IF(T46="","",T46)</f>
        <v>Источник тепловой энергии  </v>
      </c>
      <c r="AQ46" s="509"/>
      <c r="AR46" s="509"/>
      <c r="AS46" s="1164">
        <v>21</v>
      </c>
    </row>
    <row customHeight="1" ht="49.5">
      <c r="A47" s="1372" t="s">
        <v>236</v>
      </c>
      <c r="B47" s="1372" t="s">
        <v>237</v>
      </c>
      <c r="C47" s="1372" t="s">
        <v>238</v>
      </c>
      <c r="D47" s="1372" t="s">
        <v>239</v>
      </c>
      <c r="E47" s="2268"/>
      <c r="F47" s="2268"/>
      <c r="G47" s="2268"/>
      <c r="H47" s="2268"/>
      <c r="I47" s="2265" t="str">
        <f>S46&amp;".1"</f>
        <v>....1</v>
      </c>
      <c r="J47" s="1372"/>
      <c r="K47" s="1372"/>
      <c r="L47" s="1373" t="s">
        <v>476</v>
      </c>
      <c r="P47" s="2266">
        <v>1</v>
      </c>
      <c r="Q47" s="1340"/>
      <c r="R47" s="365"/>
      <c r="S47" s="1345" t="str">
        <f>$I47</f>
        <v>....1</v>
      </c>
      <c r="T47" s="294" t="s">
        <v>477</v>
      </c>
      <c r="U47" s="309"/>
      <c r="V47" s="2254"/>
      <c r="W47" s="2255"/>
      <c r="X47" s="2255"/>
      <c r="Y47" s="2255"/>
      <c r="Z47" s="2255"/>
      <c r="AA47" s="2255"/>
      <c r="AB47" s="2255"/>
      <c r="AC47" s="2256"/>
      <c r="AD47" s="2254"/>
      <c r="AE47" s="2255"/>
      <c r="AF47" s="2255"/>
      <c r="AG47" s="2255"/>
      <c r="AH47" s="2255"/>
      <c r="AI47" s="2255"/>
      <c r="AJ47" s="2255"/>
      <c r="AK47" s="2255"/>
      <c r="AL47" s="2256"/>
      <c r="AM47" s="1267" t="s">
        <v>478</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236</v>
      </c>
      <c r="B48" s="1372" t="s">
        <v>237</v>
      </c>
      <c r="C48" s="1372" t="s">
        <v>238</v>
      </c>
      <c r="D48" s="1372" t="s">
        <v>239</v>
      </c>
      <c r="E48" s="2268"/>
      <c r="F48" s="2268"/>
      <c r="G48" s="2268"/>
      <c r="H48" s="2268"/>
      <c r="I48" s="2295"/>
      <c r="J48" s="2265" t="str">
        <f>I47&amp;".1"</f>
        <v>....1.1</v>
      </c>
      <c r="K48" s="1372"/>
      <c r="L48" s="1373" t="s">
        <v>479</v>
      </c>
      <c r="P48" s="2266"/>
      <c r="Q48" s="2266">
        <v>1</v>
      </c>
      <c r="R48" s="366"/>
      <c r="S48" s="1345" t="str">
        <f>$J48</f>
        <v>....1.1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509"/>
      <c r="AP48" s="509" t="str">
        <f>IF(T48="","",T48)</f>
        <v>Группа потребителей</v>
      </c>
      <c r="AQ48" s="509"/>
      <c r="AR48" s="509"/>
      <c r="AS48" s="1164">
        <v>21</v>
      </c>
    </row>
    <row customHeight="1" ht="22.049999999999997">
      <c r="A49" s="1372" t="s">
        <v>236</v>
      </c>
      <c r="B49" s="1372" t="s">
        <v>237</v>
      </c>
      <c r="C49" s="1372" t="s">
        <v>238</v>
      </c>
      <c r="D49" s="1372" t="s">
        <v>239</v>
      </c>
      <c r="E49" s="2268"/>
      <c r="F49" s="2268"/>
      <c r="G49" s="2268"/>
      <c r="H49" s="2268"/>
      <c r="I49" s="2295"/>
      <c r="J49" s="2295"/>
      <c r="K49" s="2265" t="str">
        <f>J48&amp;".1"</f>
        <v>....1.1.1</v>
      </c>
      <c r="L49" s="1373" t="s">
        <v>482</v>
      </c>
      <c r="P49" s="2266"/>
      <c r="Q49" s="2266"/>
      <c r="R49" s="366">
        <v>1</v>
      </c>
      <c r="S49" s="1345"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483</v>
      </c>
      <c r="AN49" s="520">
        <f>STRCHECKDATE(V50:AL50)</f>
      </c>
      <c r="AO49" s="509"/>
      <c r="AP49" s="509" t="str">
        <f>IF(T49="","",T49)</f>
        <v/>
      </c>
      <c r="AQ49" s="509"/>
      <c r="AR49" s="509"/>
      <c r="AS49" s="1164">
        <v>21</v>
      </c>
    </row>
    <row customHeight="1" ht="1.05">
      <c r="A50" s="1372" t="s">
        <v>236</v>
      </c>
      <c r="B50" s="1372" t="s">
        <v>237</v>
      </c>
      <c r="C50" s="1372" t="s">
        <v>238</v>
      </c>
      <c r="D50" s="1372" t="s">
        <v>239</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236</v>
      </c>
      <c r="B51" s="1372" t="s">
        <v>237</v>
      </c>
      <c r="C51" s="1372" t="s">
        <v>238</v>
      </c>
      <c r="D51" s="1372" t="s">
        <v>239</v>
      </c>
      <c r="E51" s="2268"/>
      <c r="F51" s="2268"/>
      <c r="G51" s="2268"/>
      <c r="H51" s="2268"/>
      <c r="I51" s="2295"/>
      <c r="J51" s="2265"/>
      <c r="K51" s="1372"/>
      <c r="L51" s="1373"/>
      <c r="P51" s="2266"/>
      <c r="Q51" s="2266"/>
      <c r="R51" s="365"/>
      <c r="S51" s="1287"/>
      <c r="T51" s="297" t="s">
        <v>484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236</v>
      </c>
      <c r="B52" s="1372" t="s">
        <v>237</v>
      </c>
      <c r="C52" s="1372" t="s">
        <v>238</v>
      </c>
      <c r="D52" s="1372" t="s">
        <v>239</v>
      </c>
      <c r="E52" s="2268"/>
      <c r="F52" s="2268"/>
      <c r="G52" s="2268"/>
      <c r="H52" s="2268"/>
      <c r="I52" s="2265"/>
      <c r="J52" s="1372"/>
      <c r="K52" s="1372"/>
      <c r="L52" s="1373"/>
      <c r="P52" s="2266"/>
      <c r="Q52" s="1340"/>
      <c r="R52" s="365"/>
      <c r="S52" s="1287"/>
      <c r="T52" s="296" t="s">
        <v>485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236</v>
      </c>
      <c r="B53" s="1372" t="s">
        <v>237</v>
      </c>
      <c r="C53" s="1372" t="s">
        <v>238</v>
      </c>
      <c r="D53" s="1372" t="s">
        <v>239</v>
      </c>
      <c r="E53" s="2268"/>
      <c r="F53" s="2268"/>
      <c r="G53" s="2268"/>
      <c r="H53" s="2267"/>
      <c r="I53" s="1372"/>
      <c r="J53" s="1372"/>
      <c r="K53" s="1372"/>
      <c r="L53" s="1373"/>
      <c r="M53" s="1374"/>
      <c r="N53" s="1374"/>
      <c r="O53" s="546"/>
      <c r="P53" s="369"/>
      <c r="Q53" s="384"/>
      <c r="R53" s="364"/>
      <c r="S53" s="1287"/>
      <c r="T53" s="374" t="s">
        <v>486</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236</v>
      </c>
      <c r="B54" s="1352" t="s">
        <v>237</v>
      </c>
      <c r="C54" s="1352" t="s">
        <v>238</v>
      </c>
      <c r="D54" s="1323"/>
      <c r="E54" s="2268"/>
      <c r="F54" s="2268"/>
      <c r="G54" s="2267"/>
      <c r="H54" s="1323"/>
      <c r="I54" s="1323"/>
      <c r="J54" s="1323"/>
      <c r="K54" s="1323"/>
      <c r="L54" s="1348"/>
      <c r="M54" s="1324"/>
      <c r="N54" s="1324"/>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236</v>
      </c>
      <c r="B55" s="1352" t="s">
        <v>237</v>
      </c>
      <c r="C55" s="1323"/>
      <c r="D55" s="1323"/>
      <c r="E55" s="2268"/>
      <c r="F55" s="2267"/>
      <c r="G55" s="1323"/>
      <c r="H55" s="1323"/>
      <c r="I55" s="1323"/>
      <c r="J55" s="1323"/>
      <c r="K55" s="1323"/>
      <c r="L55" s="1348"/>
      <c r="M55" s="1330"/>
      <c r="N55" s="1330"/>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236</v>
      </c>
      <c r="B56" s="1352"/>
      <c r="C56" s="1352"/>
      <c r="D56" s="1352"/>
      <c r="E56" s="2267"/>
      <c r="F56" s="1352"/>
      <c r="G56" s="1352"/>
      <c r="H56" s="1352"/>
      <c r="I56" s="1352"/>
      <c r="J56" s="1352"/>
      <c r="K56" s="1352"/>
      <c r="L56" s="1355"/>
      <c r="M56" s="1330"/>
      <c r="N56" s="1330"/>
      <c r="O56" s="527"/>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4033C-7A1A-0745-1E0F-0.EAE641C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473</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475</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476</v>
      </c>
      <c r="M6" s="1644"/>
      <c r="P6" s="2266">
        <v>1</v>
      </c>
      <c r="Q6" s="1963"/>
      <c r="R6" s="365"/>
      <c r="S6" s="1967">
        <f>$I6</f>
      </c>
      <c r="T6" s="294" t="s">
        <v>477</v>
      </c>
      <c r="U6" s="309"/>
      <c r="V6" s="2254"/>
      <c r="W6" s="2255"/>
      <c r="X6" s="2255"/>
      <c r="Y6" s="2255"/>
      <c r="Z6" s="2255"/>
      <c r="AA6" s="2255"/>
      <c r="AB6" s="2255"/>
      <c r="AC6" s="2256"/>
      <c r="AD6" s="2254"/>
      <c r="AE6" s="2255"/>
      <c r="AF6" s="2255"/>
      <c r="AG6" s="2255"/>
      <c r="AH6" s="2255"/>
      <c r="AI6" s="2255"/>
      <c r="AJ6" s="2255"/>
      <c r="AK6" s="2255"/>
      <c r="AL6" s="2256"/>
      <c r="AM6" s="1267" t="s">
        <v>478</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479</v>
      </c>
      <c r="M7" s="1644"/>
      <c r="N7" s="1640"/>
      <c r="P7" s="2266"/>
      <c r="Q7" s="2266">
        <v>1</v>
      </c>
      <c r="R7" s="366"/>
      <c r="S7" s="1967">
        <f>$J7</f>
      </c>
      <c r="T7" s="295" t="s">
        <v>480</v>
      </c>
      <c r="U7" s="309"/>
      <c r="V7" s="2254"/>
      <c r="W7" s="2255"/>
      <c r="X7" s="2255"/>
      <c r="Y7" s="2255"/>
      <c r="Z7" s="2255"/>
      <c r="AA7" s="2255"/>
      <c r="AB7" s="2255"/>
      <c r="AC7" s="2256"/>
      <c r="AD7" s="2254"/>
      <c r="AE7" s="2255"/>
      <c r="AF7" s="2255"/>
      <c r="AG7" s="2255"/>
      <c r="AH7" s="2255"/>
      <c r="AI7" s="2255"/>
      <c r="AJ7" s="2255"/>
      <c r="AK7" s="2255"/>
      <c r="AL7" s="2256"/>
      <c r="AM7" s="1267" t="s">
        <v>481</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482</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483</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484</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485</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486</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490</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491</v>
      </c>
      <c r="P22" s="1371"/>
      <c r="Q22" s="1380"/>
      <c r="R22" s="1380"/>
      <c r="S22" s="738"/>
      <c r="T22" s="1375" t="s">
        <v>492</v>
      </c>
      <c r="AA22" s="604" t="s">
        <v>493</v>
      </c>
      <c r="AC22" s="604" t="s">
        <v>494</v>
      </c>
      <c r="AD22" s="1375" t="s">
        <v>492</v>
      </c>
      <c r="AI22" s="604" t="s">
        <v>495</v>
      </c>
      <c r="AK22" s="604" t="s">
        <v>494</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496</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497</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498</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499</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500</v>
      </c>
      <c r="AD36" s="1644"/>
      <c r="AE36" s="1644"/>
      <c r="AF36" s="1644"/>
      <c r="AG36" s="1644"/>
      <c r="AH36" s="1644"/>
      <c r="AI36" s="1644"/>
      <c r="AJ36" s="1644"/>
      <c r="AK36" s="1651" t="s">
        <v>500</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640">
        <v>14</v>
      </c>
    </row>
    <row customHeight="1" ht="14.699999999999998">
      <c r="Q39" s="385"/>
      <c r="R39" s="385"/>
      <c r="S39" s="2282" t="s">
        <v>88</v>
      </c>
      <c r="T39" s="2218" t="s">
        <v>501</v>
      </c>
      <c r="U39" s="346"/>
      <c r="V39" s="2283" t="s">
        <v>502</v>
      </c>
      <c r="W39" s="2284"/>
      <c r="X39" s="2284"/>
      <c r="Y39" s="2284"/>
      <c r="Z39" s="2284"/>
      <c r="AA39" s="2284"/>
      <c r="AB39" s="2285"/>
      <c r="AC39" s="2286" t="s">
        <v>503</v>
      </c>
      <c r="AD39" s="2283" t="s">
        <v>502</v>
      </c>
      <c r="AE39" s="2284"/>
      <c r="AF39" s="2284"/>
      <c r="AG39" s="2284"/>
      <c r="AH39" s="2284"/>
      <c r="AI39" s="2284"/>
      <c r="AJ39" s="2285"/>
      <c r="AK39" s="2286" t="s">
        <v>504</v>
      </c>
      <c r="AL39" s="2289" t="s">
        <v>505</v>
      </c>
      <c r="AM39" s="2136"/>
      <c r="AS39" s="1640">
        <v>14</v>
      </c>
    </row>
    <row customHeight="1" ht="35.699999999999996">
      <c r="Q40" s="385"/>
      <c r="R40" s="385"/>
      <c r="S40" s="2282"/>
      <c r="T40" s="2218"/>
      <c r="U40" s="1040"/>
      <c r="V40" s="2269" t="s">
        <v>506</v>
      </c>
      <c r="W40" s="2292" t="s">
        <v>507</v>
      </c>
      <c r="X40" s="2271" t="s">
        <v>508</v>
      </c>
      <c r="Y40" s="2272"/>
      <c r="Z40" s="2271" t="s">
        <v>522</v>
      </c>
      <c r="AA40" s="2278"/>
      <c r="AB40" s="2272"/>
      <c r="AC40" s="2287"/>
      <c r="AD40" s="2269" t="s">
        <v>506</v>
      </c>
      <c r="AE40" s="2292" t="s">
        <v>507</v>
      </c>
      <c r="AF40" s="2271" t="s">
        <v>508</v>
      </c>
      <c r="AG40" s="2272"/>
      <c r="AH40" s="2271" t="s">
        <v>509</v>
      </c>
      <c r="AI40" s="2278"/>
      <c r="AJ40" s="2272"/>
      <c r="AK40" s="2287"/>
      <c r="AL40" s="2290"/>
      <c r="AM40" s="2136"/>
      <c r="AS40" s="1640">
        <v>34</v>
      </c>
    </row>
    <row customHeight="1" ht="35.699999999999996">
      <c r="A41" s="1275"/>
      <c r="B41" s="1275" t="s">
        <v>216</v>
      </c>
      <c r="C41" s="1275" t="s">
        <v>217</v>
      </c>
      <c r="D41" s="1275" t="s">
        <v>218</v>
      </c>
      <c r="E41" s="1319" t="s">
        <v>510</v>
      </c>
      <c r="F41" s="1319" t="s">
        <v>511</v>
      </c>
      <c r="G41" s="1319" t="s">
        <v>512</v>
      </c>
      <c r="H41" s="1319" t="s">
        <v>513</v>
      </c>
      <c r="I41" s="1319" t="s">
        <v>514</v>
      </c>
      <c r="J41" s="1319" t="s">
        <v>515</v>
      </c>
      <c r="K41" s="1319" t="s">
        <v>516</v>
      </c>
      <c r="L41" s="1319" t="s">
        <v>491</v>
      </c>
      <c r="Q41" s="385"/>
      <c r="R41" s="385"/>
      <c r="S41" s="2282"/>
      <c r="T41" s="2218"/>
      <c r="U41" s="311"/>
      <c r="V41" s="2270"/>
      <c r="W41" s="2293"/>
      <c r="X41" s="1947" t="s">
        <v>517</v>
      </c>
      <c r="Y41" s="1947" t="s">
        <v>518</v>
      </c>
      <c r="Z41" s="1947" t="s">
        <v>519</v>
      </c>
      <c r="AA41" s="2279" t="s">
        <v>520</v>
      </c>
      <c r="AB41" s="2280"/>
      <c r="AC41" s="2288"/>
      <c r="AD41" s="2270"/>
      <c r="AE41" s="2293"/>
      <c r="AF41" s="1947" t="s">
        <v>517</v>
      </c>
      <c r="AG41" s="1947" t="s">
        <v>518</v>
      </c>
      <c r="AH41" s="1947" t="s">
        <v>519</v>
      </c>
      <c r="AI41" s="2279" t="s">
        <v>520</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109</v>
      </c>
      <c r="T42" s="1264" t="s">
        <v>110</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285</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285</v>
      </c>
      <c r="B44" s="1276" t="s">
        <v>286</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1633"/>
      <c r="AP44" s="1633" t="str">
        <f>IF(T44="","",T44)</f>
        <v>Территория действия тарифа</v>
      </c>
      <c r="AQ44" s="1633"/>
      <c r="AR44" s="1633"/>
      <c r="AS44" s="1640">
        <v>21</v>
      </c>
    </row>
    <row customHeight="1" ht="24">
      <c r="A45" s="1276" t="s">
        <v>285</v>
      </c>
      <c r="B45" s="1276" t="s">
        <v>286</v>
      </c>
      <c r="C45" s="1276" t="s">
        <v>287</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1633"/>
      <c r="AP45" s="1633" t="str">
        <f>IF(T45="","",T45)</f>
        <v>Наименование системы теплоснабжения </v>
      </c>
      <c r="AQ45" s="1633"/>
      <c r="AR45" s="1633"/>
      <c r="AS45" s="1640">
        <v>23</v>
      </c>
    </row>
    <row customHeight="1" ht="22.049999999999997">
      <c r="A46" s="1276" t="s">
        <v>285</v>
      </c>
      <c r="B46" s="1276" t="s">
        <v>286</v>
      </c>
      <c r="C46" s="1276" t="s">
        <v>287</v>
      </c>
      <c r="D46" s="1276" t="s">
        <v>288</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1633"/>
      <c r="AP46" s="1633" t="str">
        <f>IF(T46="","",T46)</f>
        <v>Источник тепловой энергии  </v>
      </c>
      <c r="AQ46" s="1633"/>
      <c r="AR46" s="1633"/>
      <c r="AS46" s="1640">
        <v>21</v>
      </c>
    </row>
    <row customHeight="1" ht="49.5">
      <c r="A47" s="1276" t="s">
        <v>285</v>
      </c>
      <c r="B47" s="1276" t="s">
        <v>286</v>
      </c>
      <c r="C47" s="1276" t="s">
        <v>287</v>
      </c>
      <c r="D47" s="1276" t="s">
        <v>288</v>
      </c>
      <c r="E47" s="2299"/>
      <c r="F47" s="2299"/>
      <c r="G47" s="2299"/>
      <c r="H47" s="2299"/>
      <c r="I47" s="2136" t="str">
        <f>S46&amp;".1"</f>
        <v>....1</v>
      </c>
      <c r="J47" s="1276"/>
      <c r="K47" s="1276"/>
      <c r="L47" s="1319" t="s">
        <v>476</v>
      </c>
      <c r="P47" s="2266">
        <v>1</v>
      </c>
      <c r="Q47" s="1963"/>
      <c r="R47" s="365"/>
      <c r="S47" s="1967" t="str">
        <f>$I47</f>
        <v>....1</v>
      </c>
      <c r="T47" s="294" t="s">
        <v>477</v>
      </c>
      <c r="U47" s="309"/>
      <c r="V47" s="2254"/>
      <c r="W47" s="2255"/>
      <c r="X47" s="2255"/>
      <c r="Y47" s="2255"/>
      <c r="Z47" s="2255"/>
      <c r="AA47" s="2255"/>
      <c r="AB47" s="2255"/>
      <c r="AC47" s="2256"/>
      <c r="AD47" s="2254"/>
      <c r="AE47" s="2255"/>
      <c r="AF47" s="2255"/>
      <c r="AG47" s="2255"/>
      <c r="AH47" s="2255"/>
      <c r="AI47" s="2255"/>
      <c r="AJ47" s="2255"/>
      <c r="AK47" s="2255"/>
      <c r="AL47" s="2256"/>
      <c r="AM47" s="1267" t="s">
        <v>478</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285</v>
      </c>
      <c r="B48" s="1276" t="s">
        <v>286</v>
      </c>
      <c r="C48" s="1276" t="s">
        <v>287</v>
      </c>
      <c r="D48" s="1276" t="s">
        <v>288</v>
      </c>
      <c r="E48" s="2299"/>
      <c r="F48" s="2299"/>
      <c r="G48" s="2299"/>
      <c r="H48" s="2299"/>
      <c r="I48" s="2110"/>
      <c r="J48" s="2136" t="str">
        <f>I47&amp;".1"</f>
        <v>....1.1</v>
      </c>
      <c r="K48" s="1276"/>
      <c r="L48" s="1319" t="s">
        <v>479</v>
      </c>
      <c r="P48" s="2266"/>
      <c r="Q48" s="2266">
        <v>1</v>
      </c>
      <c r="R48" s="366"/>
      <c r="S48" s="1967" t="str">
        <f>$J48</f>
        <v>....1.1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1633"/>
      <c r="AP48" s="1633" t="str">
        <f>IF(T48="","",T48)</f>
        <v>Группа потребителей</v>
      </c>
      <c r="AQ48" s="1633"/>
      <c r="AR48" s="1633"/>
      <c r="AS48" s="1640">
        <v>21</v>
      </c>
    </row>
    <row customHeight="1" ht="22.049999999999997">
      <c r="A49" s="1276" t="s">
        <v>285</v>
      </c>
      <c r="B49" s="1276" t="s">
        <v>286</v>
      </c>
      <c r="C49" s="1276" t="s">
        <v>287</v>
      </c>
      <c r="D49" s="1276" t="s">
        <v>288</v>
      </c>
      <c r="E49" s="2299"/>
      <c r="F49" s="2299"/>
      <c r="G49" s="2299"/>
      <c r="H49" s="2299"/>
      <c r="I49" s="2110"/>
      <c r="J49" s="2110"/>
      <c r="K49" s="2136" t="str">
        <f>J48&amp;".1"</f>
        <v>....1.1.1</v>
      </c>
      <c r="L49" s="1319" t="s">
        <v>482</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483</v>
      </c>
      <c r="AN49" s="1645">
        <f>STRCHECKDATE(V50:AL50)</f>
      </c>
      <c r="AO49" s="1633"/>
      <c r="AP49" s="1633" t="str">
        <f>IF(T49="","",T49)</f>
        <v/>
      </c>
      <c r="AQ49" s="1633"/>
      <c r="AR49" s="1633"/>
      <c r="AS49" s="1640">
        <v>21</v>
      </c>
    </row>
    <row customHeight="1" ht="1.05">
      <c r="A50" s="1276" t="s">
        <v>285</v>
      </c>
      <c r="B50" s="1276" t="s">
        <v>286</v>
      </c>
      <c r="C50" s="1276" t="s">
        <v>287</v>
      </c>
      <c r="D50" s="1276" t="s">
        <v>288</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285</v>
      </c>
      <c r="B51" s="1276" t="s">
        <v>286</v>
      </c>
      <c r="C51" s="1276" t="s">
        <v>287</v>
      </c>
      <c r="D51" s="1276" t="s">
        <v>288</v>
      </c>
      <c r="E51" s="2299"/>
      <c r="F51" s="2299"/>
      <c r="G51" s="2299"/>
      <c r="H51" s="2299"/>
      <c r="I51" s="2110"/>
      <c r="J51" s="2136"/>
      <c r="K51" s="1276"/>
      <c r="L51" s="1319"/>
      <c r="P51" s="2266"/>
      <c r="Q51" s="2266"/>
      <c r="R51" s="365"/>
      <c r="S51" s="1287"/>
      <c r="T51" s="297" t="s">
        <v>484</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285</v>
      </c>
      <c r="B52" s="1276" t="s">
        <v>286</v>
      </c>
      <c r="C52" s="1276" t="s">
        <v>287</v>
      </c>
      <c r="D52" s="1276" t="s">
        <v>288</v>
      </c>
      <c r="E52" s="2299"/>
      <c r="F52" s="2299"/>
      <c r="G52" s="2299"/>
      <c r="H52" s="2299"/>
      <c r="I52" s="2136"/>
      <c r="J52" s="1276"/>
      <c r="K52" s="1276"/>
      <c r="L52" s="1319"/>
      <c r="P52" s="2266"/>
      <c r="Q52" s="1963"/>
      <c r="R52" s="365"/>
      <c r="S52" s="1287"/>
      <c r="T52" s="296" t="s">
        <v>485</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285</v>
      </c>
      <c r="B53" s="1276" t="s">
        <v>286</v>
      </c>
      <c r="C53" s="1276" t="s">
        <v>287</v>
      </c>
      <c r="D53" s="1276" t="s">
        <v>288</v>
      </c>
      <c r="E53" s="2299"/>
      <c r="F53" s="2299"/>
      <c r="G53" s="2299"/>
      <c r="H53" s="2298"/>
      <c r="I53" s="1276"/>
      <c r="J53" s="1276"/>
      <c r="K53" s="1276"/>
      <c r="L53" s="1319"/>
      <c r="M53" s="1619"/>
      <c r="N53" s="1619"/>
      <c r="O53" s="1644"/>
      <c r="P53" s="369"/>
      <c r="Q53" s="384"/>
      <c r="R53" s="364"/>
      <c r="S53" s="1287"/>
      <c r="T53" s="374" t="s">
        <v>486</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285</v>
      </c>
      <c r="B54" s="1384" t="s">
        <v>286</v>
      </c>
      <c r="C54" s="1384" t="s">
        <v>287</v>
      </c>
      <c r="D54" s="1383"/>
      <c r="E54" s="2299"/>
      <c r="F54" s="2299"/>
      <c r="G54" s="2298"/>
      <c r="H54" s="1383"/>
      <c r="I54" s="1383"/>
      <c r="J54" s="1383"/>
      <c r="K54" s="1383"/>
      <c r="L54" s="1386"/>
      <c r="M54" s="1387"/>
      <c r="N54" s="1387"/>
      <c r="O54" s="360"/>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285</v>
      </c>
      <c r="B55" s="1384" t="s">
        <v>286</v>
      </c>
      <c r="C55" s="1383"/>
      <c r="D55" s="1383"/>
      <c r="E55" s="2299"/>
      <c r="F55" s="2298"/>
      <c r="G55" s="1383"/>
      <c r="H55" s="1383"/>
      <c r="I55" s="1383"/>
      <c r="J55" s="1383"/>
      <c r="K55" s="1383"/>
      <c r="L55" s="1386"/>
      <c r="M55" s="1388"/>
      <c r="N55" s="1388"/>
      <c r="O55" s="360"/>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285</v>
      </c>
      <c r="B56" s="1384"/>
      <c r="C56" s="1384"/>
      <c r="D56" s="1384"/>
      <c r="E56" s="2298"/>
      <c r="F56" s="1384"/>
      <c r="G56" s="1384"/>
      <c r="H56" s="1384"/>
      <c r="I56" s="1384"/>
      <c r="J56" s="1384"/>
      <c r="K56" s="1384"/>
      <c r="L56" s="1390"/>
      <c r="M56" s="1388"/>
      <c r="N56" s="1388"/>
      <c r="O56" s="360"/>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1F5FD1-3CD7-DB63-83BF-0.37616D3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473</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475</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476</v>
      </c>
      <c r="M6" s="1644"/>
      <c r="P6" s="2266">
        <v>1</v>
      </c>
      <c r="Q6" s="1963"/>
      <c r="R6" s="365"/>
      <c r="S6" s="1967">
        <f>$I6</f>
      </c>
      <c r="T6" s="294" t="s">
        <v>477</v>
      </c>
      <c r="U6" s="309"/>
      <c r="V6" s="2254"/>
      <c r="W6" s="2255"/>
      <c r="X6" s="2255"/>
      <c r="Y6" s="2255"/>
      <c r="Z6" s="2255"/>
      <c r="AA6" s="2255"/>
      <c r="AB6" s="2255"/>
      <c r="AC6" s="2256"/>
      <c r="AD6" s="2254"/>
      <c r="AE6" s="2255"/>
      <c r="AF6" s="2255"/>
      <c r="AG6" s="2255"/>
      <c r="AH6" s="2255"/>
      <c r="AI6" s="2255"/>
      <c r="AJ6" s="2255"/>
      <c r="AK6" s="2255"/>
      <c r="AL6" s="2256"/>
      <c r="AM6" s="1267" t="s">
        <v>478</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479</v>
      </c>
      <c r="M7" s="1644"/>
      <c r="N7" s="1640"/>
      <c r="P7" s="2266"/>
      <c r="Q7" s="2266">
        <v>1</v>
      </c>
      <c r="R7" s="366"/>
      <c r="S7" s="1967">
        <f>$J7</f>
      </c>
      <c r="T7" s="295" t="s">
        <v>480</v>
      </c>
      <c r="U7" s="309"/>
      <c r="V7" s="2254"/>
      <c r="W7" s="2255"/>
      <c r="X7" s="2255"/>
      <c r="Y7" s="2255"/>
      <c r="Z7" s="2255"/>
      <c r="AA7" s="2255"/>
      <c r="AB7" s="2255"/>
      <c r="AC7" s="2256"/>
      <c r="AD7" s="2254"/>
      <c r="AE7" s="2255"/>
      <c r="AF7" s="2255"/>
      <c r="AG7" s="2255"/>
      <c r="AH7" s="2255"/>
      <c r="AI7" s="2255"/>
      <c r="AJ7" s="2255"/>
      <c r="AK7" s="2255"/>
      <c r="AL7" s="2256"/>
      <c r="AM7" s="1267" t="s">
        <v>481</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482</v>
      </c>
      <c r="M8" s="1644"/>
      <c r="N8" s="1640"/>
      <c r="O8" s="1640"/>
      <c r="P8" s="2266"/>
      <c r="Q8" s="2266"/>
      <c r="R8" s="366">
        <v>1</v>
      </c>
      <c r="S8" s="1967">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483</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484</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485</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486</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66</v>
      </c>
      <c r="AJ17" s="2276"/>
      <c r="AK17" s="2277" t="s">
        <v>66</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490</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491</v>
      </c>
      <c r="P22" s="1371"/>
      <c r="Q22" s="1380"/>
      <c r="R22" s="1380"/>
      <c r="S22" s="738"/>
      <c r="T22" s="1375" t="s">
        <v>492</v>
      </c>
      <c r="AA22" s="604" t="s">
        <v>493</v>
      </c>
      <c r="AC22" s="604" t="s">
        <v>494</v>
      </c>
      <c r="AD22" s="1375" t="s">
        <v>492</v>
      </c>
      <c r="AI22" s="604" t="s">
        <v>495</v>
      </c>
      <c r="AK22" s="604" t="s">
        <v>494</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496</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497</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498</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499</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500</v>
      </c>
      <c r="AD36" s="1644"/>
      <c r="AE36" s="1644"/>
      <c r="AF36" s="1644"/>
      <c r="AG36" s="1644"/>
      <c r="AH36" s="1644"/>
      <c r="AI36" s="1644"/>
      <c r="AJ36" s="1644"/>
      <c r="AK36" s="1651" t="s">
        <v>500</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640">
        <v>14</v>
      </c>
    </row>
    <row customHeight="1" ht="14.699999999999998">
      <c r="Q39" s="385"/>
      <c r="R39" s="385"/>
      <c r="S39" s="2282" t="s">
        <v>88</v>
      </c>
      <c r="T39" s="2218" t="s">
        <v>501</v>
      </c>
      <c r="U39" s="346"/>
      <c r="V39" s="2283" t="s">
        <v>502</v>
      </c>
      <c r="W39" s="2284"/>
      <c r="X39" s="2284"/>
      <c r="Y39" s="2284"/>
      <c r="Z39" s="2284"/>
      <c r="AA39" s="2284"/>
      <c r="AB39" s="2285"/>
      <c r="AC39" s="2286" t="s">
        <v>503</v>
      </c>
      <c r="AD39" s="2283" t="s">
        <v>502</v>
      </c>
      <c r="AE39" s="2284"/>
      <c r="AF39" s="2284"/>
      <c r="AG39" s="2284"/>
      <c r="AH39" s="2284"/>
      <c r="AI39" s="2284"/>
      <c r="AJ39" s="2285"/>
      <c r="AK39" s="2286" t="s">
        <v>504</v>
      </c>
      <c r="AL39" s="2289" t="s">
        <v>505</v>
      </c>
      <c r="AM39" s="2136"/>
      <c r="AS39" s="1640">
        <v>14</v>
      </c>
    </row>
    <row customHeight="1" ht="35.699999999999996">
      <c r="Q40" s="385"/>
      <c r="R40" s="385"/>
      <c r="S40" s="2282"/>
      <c r="T40" s="2218"/>
      <c r="U40" s="1040"/>
      <c r="V40" s="2269" t="s">
        <v>506</v>
      </c>
      <c r="W40" s="2292" t="s">
        <v>507</v>
      </c>
      <c r="X40" s="2271" t="s">
        <v>508</v>
      </c>
      <c r="Y40" s="2272"/>
      <c r="Z40" s="2271" t="s">
        <v>522</v>
      </c>
      <c r="AA40" s="2278"/>
      <c r="AB40" s="2272"/>
      <c r="AC40" s="2287"/>
      <c r="AD40" s="2269" t="s">
        <v>506</v>
      </c>
      <c r="AE40" s="2292" t="s">
        <v>507</v>
      </c>
      <c r="AF40" s="2271" t="s">
        <v>508</v>
      </c>
      <c r="AG40" s="2272"/>
      <c r="AH40" s="2271" t="s">
        <v>509</v>
      </c>
      <c r="AI40" s="2278"/>
      <c r="AJ40" s="2272"/>
      <c r="AK40" s="2287"/>
      <c r="AL40" s="2290"/>
      <c r="AM40" s="2136"/>
      <c r="AS40" s="1640">
        <v>34</v>
      </c>
    </row>
    <row customHeight="1" ht="35.699999999999996">
      <c r="A41" s="1275"/>
      <c r="B41" s="1275" t="s">
        <v>216</v>
      </c>
      <c r="C41" s="1275" t="s">
        <v>217</v>
      </c>
      <c r="D41" s="1275" t="s">
        <v>218</v>
      </c>
      <c r="E41" s="1319" t="s">
        <v>510</v>
      </c>
      <c r="F41" s="1319" t="s">
        <v>511</v>
      </c>
      <c r="G41" s="1319" t="s">
        <v>512</v>
      </c>
      <c r="H41" s="1319" t="s">
        <v>513</v>
      </c>
      <c r="I41" s="1319" t="s">
        <v>514</v>
      </c>
      <c r="J41" s="1319" t="s">
        <v>515</v>
      </c>
      <c r="K41" s="1319" t="s">
        <v>516</v>
      </c>
      <c r="L41" s="1319" t="s">
        <v>491</v>
      </c>
      <c r="Q41" s="385"/>
      <c r="R41" s="385"/>
      <c r="S41" s="2282"/>
      <c r="T41" s="2218"/>
      <c r="U41" s="311"/>
      <c r="V41" s="2270"/>
      <c r="W41" s="2293"/>
      <c r="X41" s="1947" t="s">
        <v>517</v>
      </c>
      <c r="Y41" s="1947" t="s">
        <v>518</v>
      </c>
      <c r="Z41" s="1947" t="s">
        <v>519</v>
      </c>
      <c r="AA41" s="2279" t="s">
        <v>520</v>
      </c>
      <c r="AB41" s="2280"/>
      <c r="AC41" s="2288"/>
      <c r="AD41" s="2270"/>
      <c r="AE41" s="2293"/>
      <c r="AF41" s="1947" t="s">
        <v>517</v>
      </c>
      <c r="AG41" s="1947" t="s">
        <v>518</v>
      </c>
      <c r="AH41" s="1947" t="s">
        <v>519</v>
      </c>
      <c r="AI41" s="2279" t="s">
        <v>520</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109</v>
      </c>
      <c r="T42" s="1264" t="s">
        <v>110</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285</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285</v>
      </c>
      <c r="B44" s="1276" t="s">
        <v>286</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1633"/>
      <c r="AP44" s="1633" t="str">
        <f>IF(T44="","",T44)</f>
        <v>Территория действия тарифа</v>
      </c>
      <c r="AQ44" s="1633"/>
      <c r="AR44" s="1633"/>
      <c r="AS44" s="1640">
        <v>21</v>
      </c>
    </row>
    <row customHeight="1" ht="24">
      <c r="A45" s="1276" t="s">
        <v>285</v>
      </c>
      <c r="B45" s="1276" t="s">
        <v>286</v>
      </c>
      <c r="C45" s="1276" t="s">
        <v>287</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1633"/>
      <c r="AP45" s="1633" t="str">
        <f>IF(T45="","",T45)</f>
        <v>Наименование системы теплоснабжения </v>
      </c>
      <c r="AQ45" s="1633"/>
      <c r="AR45" s="1633"/>
      <c r="AS45" s="1640">
        <v>23</v>
      </c>
    </row>
    <row customHeight="1" ht="22.049999999999997">
      <c r="A46" s="1276" t="s">
        <v>285</v>
      </c>
      <c r="B46" s="1276" t="s">
        <v>286</v>
      </c>
      <c r="C46" s="1276" t="s">
        <v>287</v>
      </c>
      <c r="D46" s="1276" t="s">
        <v>288</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1633"/>
      <c r="AP46" s="1633" t="str">
        <f>IF(T46="","",T46)</f>
        <v>Источник тепловой энергии  </v>
      </c>
      <c r="AQ46" s="1633"/>
      <c r="AR46" s="1633"/>
      <c r="AS46" s="1640">
        <v>21</v>
      </c>
    </row>
    <row customHeight="1" ht="49.5">
      <c r="A47" s="1276" t="s">
        <v>285</v>
      </c>
      <c r="B47" s="1276" t="s">
        <v>286</v>
      </c>
      <c r="C47" s="1276" t="s">
        <v>287</v>
      </c>
      <c r="D47" s="1276" t="s">
        <v>288</v>
      </c>
      <c r="E47" s="2299"/>
      <c r="F47" s="2299"/>
      <c r="G47" s="2299"/>
      <c r="H47" s="2299"/>
      <c r="I47" s="2136" t="str">
        <f>S46&amp;".1"</f>
        <v>....1</v>
      </c>
      <c r="J47" s="1276"/>
      <c r="K47" s="1276"/>
      <c r="L47" s="1319" t="s">
        <v>476</v>
      </c>
      <c r="P47" s="2266">
        <v>1</v>
      </c>
      <c r="Q47" s="1963"/>
      <c r="R47" s="365"/>
      <c r="S47" s="1967" t="str">
        <f>$I47</f>
        <v>....1</v>
      </c>
      <c r="T47" s="294" t="s">
        <v>477</v>
      </c>
      <c r="U47" s="309"/>
      <c r="V47" s="2254"/>
      <c r="W47" s="2255"/>
      <c r="X47" s="2255"/>
      <c r="Y47" s="2255"/>
      <c r="Z47" s="2255"/>
      <c r="AA47" s="2255"/>
      <c r="AB47" s="2255"/>
      <c r="AC47" s="2256"/>
      <c r="AD47" s="2254"/>
      <c r="AE47" s="2255"/>
      <c r="AF47" s="2255"/>
      <c r="AG47" s="2255"/>
      <c r="AH47" s="2255"/>
      <c r="AI47" s="2255"/>
      <c r="AJ47" s="2255"/>
      <c r="AK47" s="2255"/>
      <c r="AL47" s="2256"/>
      <c r="AM47" s="1267" t="s">
        <v>478</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285</v>
      </c>
      <c r="B48" s="1276" t="s">
        <v>286</v>
      </c>
      <c r="C48" s="1276" t="s">
        <v>287</v>
      </c>
      <c r="D48" s="1276" t="s">
        <v>288</v>
      </c>
      <c r="E48" s="2299"/>
      <c r="F48" s="2299"/>
      <c r="G48" s="2299"/>
      <c r="H48" s="2299"/>
      <c r="I48" s="2110"/>
      <c r="J48" s="2136" t="str">
        <f>I47&amp;".1"</f>
        <v>....1.1</v>
      </c>
      <c r="K48" s="1276"/>
      <c r="L48" s="1319" t="s">
        <v>479</v>
      </c>
      <c r="P48" s="2266"/>
      <c r="Q48" s="2266">
        <v>1</v>
      </c>
      <c r="R48" s="366"/>
      <c r="S48" s="1967" t="str">
        <f>$J48</f>
        <v>....1.1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1633"/>
      <c r="AP48" s="1633" t="str">
        <f>IF(T48="","",T48)</f>
        <v>Группа потребителей</v>
      </c>
      <c r="AQ48" s="1633"/>
      <c r="AR48" s="1633"/>
      <c r="AS48" s="1640">
        <v>21</v>
      </c>
    </row>
    <row customHeight="1" ht="22.049999999999997">
      <c r="A49" s="1276" t="s">
        <v>285</v>
      </c>
      <c r="B49" s="1276" t="s">
        <v>286</v>
      </c>
      <c r="C49" s="1276" t="s">
        <v>287</v>
      </c>
      <c r="D49" s="1276" t="s">
        <v>288</v>
      </c>
      <c r="E49" s="2299"/>
      <c r="F49" s="2299"/>
      <c r="G49" s="2299"/>
      <c r="H49" s="2299"/>
      <c r="I49" s="2110"/>
      <c r="J49" s="2110"/>
      <c r="K49" s="2136" t="str">
        <f>J48&amp;".1"</f>
        <v>....1.1.1</v>
      </c>
      <c r="L49" s="1319" t="s">
        <v>482</v>
      </c>
      <c r="P49" s="2266"/>
      <c r="Q49" s="2266"/>
      <c r="R49" s="366">
        <v>1</v>
      </c>
      <c r="S49" s="1967" t="str">
        <f>$K49</f>
        <v>....1.1.1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483</v>
      </c>
      <c r="AN49" s="1645">
        <f>STRCHECKDATE(V50:AL50)</f>
      </c>
      <c r="AO49" s="1633"/>
      <c r="AP49" s="1633" t="str">
        <f>IF(T49="","",T49)</f>
        <v/>
      </c>
      <c r="AQ49" s="1633"/>
      <c r="AR49" s="1633"/>
      <c r="AS49" s="1640">
        <v>21</v>
      </c>
    </row>
    <row customHeight="1" ht="1.05">
      <c r="A50" s="1276" t="s">
        <v>285</v>
      </c>
      <c r="B50" s="1276" t="s">
        <v>286</v>
      </c>
      <c r="C50" s="1276" t="s">
        <v>287</v>
      </c>
      <c r="D50" s="1276" t="s">
        <v>288</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285</v>
      </c>
      <c r="B51" s="1276" t="s">
        <v>286</v>
      </c>
      <c r="C51" s="1276" t="s">
        <v>287</v>
      </c>
      <c r="D51" s="1276" t="s">
        <v>288</v>
      </c>
      <c r="E51" s="2299"/>
      <c r="F51" s="2299"/>
      <c r="G51" s="2299"/>
      <c r="H51" s="2299"/>
      <c r="I51" s="2110"/>
      <c r="J51" s="2136"/>
      <c r="K51" s="1276"/>
      <c r="L51" s="1319"/>
      <c r="P51" s="2266"/>
      <c r="Q51" s="2266"/>
      <c r="R51" s="365"/>
      <c r="S51" s="1287"/>
      <c r="T51" s="297" t="s">
        <v>484</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285</v>
      </c>
      <c r="B52" s="1276" t="s">
        <v>286</v>
      </c>
      <c r="C52" s="1276" t="s">
        <v>287</v>
      </c>
      <c r="D52" s="1276" t="s">
        <v>288</v>
      </c>
      <c r="E52" s="2299"/>
      <c r="F52" s="2299"/>
      <c r="G52" s="2299"/>
      <c r="H52" s="2299"/>
      <c r="I52" s="2136"/>
      <c r="J52" s="1276"/>
      <c r="K52" s="1276"/>
      <c r="L52" s="1319"/>
      <c r="P52" s="2266"/>
      <c r="Q52" s="1963"/>
      <c r="R52" s="365"/>
      <c r="S52" s="1287"/>
      <c r="T52" s="296" t="s">
        <v>485</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285</v>
      </c>
      <c r="B53" s="1276" t="s">
        <v>286</v>
      </c>
      <c r="C53" s="1276" t="s">
        <v>287</v>
      </c>
      <c r="D53" s="1276" t="s">
        <v>288</v>
      </c>
      <c r="E53" s="2299"/>
      <c r="F53" s="2299"/>
      <c r="G53" s="2299"/>
      <c r="H53" s="2298"/>
      <c r="I53" s="1276"/>
      <c r="J53" s="1276"/>
      <c r="K53" s="1276"/>
      <c r="L53" s="1319"/>
      <c r="M53" s="1619"/>
      <c r="N53" s="1619"/>
      <c r="O53" s="1644"/>
      <c r="P53" s="369"/>
      <c r="Q53" s="384"/>
      <c r="R53" s="364"/>
      <c r="S53" s="1287"/>
      <c r="T53" s="374" t="s">
        <v>486</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285</v>
      </c>
      <c r="B54" s="1276" t="s">
        <v>286</v>
      </c>
      <c r="C54" s="1276" t="s">
        <v>287</v>
      </c>
      <c r="D54" s="1983"/>
      <c r="E54" s="2299"/>
      <c r="F54" s="2299"/>
      <c r="G54" s="2298"/>
      <c r="H54" s="1983"/>
      <c r="I54" s="1983"/>
      <c r="J54" s="1983"/>
      <c r="K54" s="1983"/>
      <c r="L54" s="1389"/>
      <c r="M54" s="1619"/>
      <c r="N54" s="1619"/>
      <c r="O54" s="1644"/>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285</v>
      </c>
      <c r="B55" s="1276" t="s">
        <v>286</v>
      </c>
      <c r="C55" s="1983"/>
      <c r="D55" s="1983"/>
      <c r="E55" s="2299"/>
      <c r="F55" s="2298"/>
      <c r="G55" s="1983"/>
      <c r="H55" s="1983"/>
      <c r="I55" s="1983"/>
      <c r="J55" s="1983"/>
      <c r="K55" s="1983"/>
      <c r="L55" s="1389"/>
      <c r="M55" s="1984"/>
      <c r="N55" s="1984"/>
      <c r="O55" s="1644"/>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285</v>
      </c>
      <c r="B56" s="1276"/>
      <c r="C56" s="1276"/>
      <c r="D56" s="1276"/>
      <c r="E56" s="2298"/>
      <c r="F56" s="1276"/>
      <c r="G56" s="1276"/>
      <c r="H56" s="1276"/>
      <c r="I56" s="1276"/>
      <c r="J56" s="1276"/>
      <c r="K56" s="1276"/>
      <c r="L56" s="1319"/>
      <c r="M56" s="1984"/>
      <c r="N56" s="1984"/>
      <c r="O56" s="1644"/>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82</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704EC-3EB5-B921-131D-0.F363FE7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475</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476</v>
      </c>
      <c r="M6" s="546"/>
      <c r="P6" s="2266">
        <v>1</v>
      </c>
      <c r="Q6" s="1340"/>
      <c r="R6" s="365"/>
      <c r="S6" s="1345">
        <f>$I6</f>
      </c>
      <c r="T6" s="294" t="s">
        <v>477</v>
      </c>
      <c r="U6" s="309"/>
      <c r="V6" s="2254"/>
      <c r="W6" s="2255"/>
      <c r="X6" s="2255"/>
      <c r="Y6" s="2255"/>
      <c r="Z6" s="2255"/>
      <c r="AA6" s="2255"/>
      <c r="AB6" s="2255"/>
      <c r="AC6" s="2256"/>
      <c r="AD6" s="2254"/>
      <c r="AE6" s="2255"/>
      <c r="AF6" s="2255"/>
      <c r="AG6" s="2255"/>
      <c r="AH6" s="2255"/>
      <c r="AI6" s="2255"/>
      <c r="AJ6" s="2255"/>
      <c r="AK6" s="2255"/>
      <c r="AL6" s="2256"/>
      <c r="AM6" s="1267" t="s">
        <v>478</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479</v>
      </c>
      <c r="M7" s="546"/>
      <c r="N7" s="1375"/>
      <c r="P7" s="2266"/>
      <c r="Q7" s="2266">
        <v>1</v>
      </c>
      <c r="R7" s="366"/>
      <c r="S7" s="1345">
        <f>$J7</f>
      </c>
      <c r="T7" s="295" t="s">
        <v>480</v>
      </c>
      <c r="U7" s="309"/>
      <c r="V7" s="2254"/>
      <c r="W7" s="2255"/>
      <c r="X7" s="2255"/>
      <c r="Y7" s="2255"/>
      <c r="Z7" s="2255"/>
      <c r="AA7" s="2255"/>
      <c r="AB7" s="2255"/>
      <c r="AC7" s="2256"/>
      <c r="AD7" s="2254"/>
      <c r="AE7" s="2255"/>
      <c r="AF7" s="2255"/>
      <c r="AG7" s="2255"/>
      <c r="AH7" s="2255"/>
      <c r="AI7" s="2255"/>
      <c r="AJ7" s="2255"/>
      <c r="AK7" s="2255"/>
      <c r="AL7" s="2256"/>
      <c r="AM7" s="1267" t="s">
        <v>481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482</v>
      </c>
      <c r="M8" s="546"/>
      <c r="N8" s="1375"/>
      <c r="O8" s="1375"/>
      <c r="P8" s="2266"/>
      <c r="Q8" s="2266"/>
      <c r="R8" s="366">
        <v>1</v>
      </c>
      <c r="S8" s="1345">
        <f>$K8</f>
      </c>
      <c r="T8" s="1356"/>
      <c r="U8" s="309"/>
      <c r="V8" s="334"/>
      <c r="W8" s="760"/>
      <c r="X8" s="334"/>
      <c r="Y8" s="393"/>
      <c r="Z8" s="2274"/>
      <c r="AA8" s="2116" t="s">
        <v>66</v>
      </c>
      <c r="AB8" s="2274"/>
      <c r="AC8" s="2116" t="s">
        <v>66</v>
      </c>
      <c r="AD8" s="334"/>
      <c r="AE8" s="760"/>
      <c r="AF8" s="334"/>
      <c r="AG8" s="393"/>
      <c r="AH8" s="2274"/>
      <c r="AI8" s="2116" t="s">
        <v>66</v>
      </c>
      <c r="AJ8" s="2274"/>
      <c r="AK8" s="2116" t="s">
        <v>66</v>
      </c>
      <c r="AL8" s="334"/>
      <c r="AM8" s="2262" t="s">
        <v>483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486</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491</v>
      </c>
      <c r="P22" s="1371"/>
      <c r="Q22" s="1380"/>
      <c r="R22" s="1380"/>
      <c r="S22" s="738"/>
      <c r="T22" s="1169" t="s">
        <v>492</v>
      </c>
      <c r="AA22" s="195" t="s">
        <v>493</v>
      </c>
      <c r="AC22" s="195" t="s">
        <v>494</v>
      </c>
      <c r="AD22" s="1169" t="s">
        <v>492</v>
      </c>
      <c r="AI22" s="195" t="s">
        <v>495</v>
      </c>
      <c r="AK22" s="195" t="s">
        <v>494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500</v>
      </c>
      <c r="AD36" s="335"/>
      <c r="AE36" s="335"/>
      <c r="AF36" s="335"/>
      <c r="AG36" s="335"/>
      <c r="AH36" s="335"/>
      <c r="AI36" s="335"/>
      <c r="AJ36" s="335"/>
      <c r="AK36" s="287" t="s">
        <v>500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164">
        <v>14</v>
      </c>
    </row>
    <row customHeight="1" ht="14.699999999999998">
      <c r="Q39" s="385"/>
      <c r="R39" s="385"/>
      <c r="S39" s="2282" t="s">
        <v>88</v>
      </c>
      <c r="T39" s="2218" t="s">
        <v>501</v>
      </c>
      <c r="U39" s="310"/>
      <c r="V39" s="2283" t="s">
        <v>502</v>
      </c>
      <c r="W39" s="2284"/>
      <c r="X39" s="2300"/>
      <c r="Y39" s="2300"/>
      <c r="Z39" s="2284"/>
      <c r="AA39" s="2284"/>
      <c r="AB39" s="2285"/>
      <c r="AC39" s="2286" t="s">
        <v>503</v>
      </c>
      <c r="AD39" s="2283" t="s">
        <v>502</v>
      </c>
      <c r="AE39" s="2284"/>
      <c r="AF39" s="2300"/>
      <c r="AG39" s="2300"/>
      <c r="AH39" s="2284"/>
      <c r="AI39" s="2284"/>
      <c r="AJ39" s="2285"/>
      <c r="AK39" s="2286" t="s">
        <v>504</v>
      </c>
      <c r="AL39" s="2289" t="s">
        <v>505</v>
      </c>
      <c r="AM39" s="2136"/>
      <c r="AS39" s="1164">
        <v>14</v>
      </c>
    </row>
    <row customHeight="1" ht="24">
      <c r="Q40" s="385"/>
      <c r="R40" s="385"/>
      <c r="S40" s="2282"/>
      <c r="T40" s="2218"/>
      <c r="U40" s="1040"/>
      <c r="V40" s="2301" t="s">
        <v>506</v>
      </c>
      <c r="W40" s="2303" t="s">
        <v>507</v>
      </c>
      <c r="X40" s="1385" t="s">
        <v>508</v>
      </c>
      <c r="Y40" s="1385"/>
      <c r="Z40" s="2278" t="s">
        <v>509</v>
      </c>
      <c r="AA40" s="2278"/>
      <c r="AB40" s="2272"/>
      <c r="AC40" s="2287"/>
      <c r="AD40" s="2301" t="s">
        <v>506</v>
      </c>
      <c r="AE40" s="2303" t="s">
        <v>507</v>
      </c>
      <c r="AF40" s="1385" t="s">
        <v>508</v>
      </c>
      <c r="AG40" s="1385"/>
      <c r="AH40" s="2278" t="s">
        <v>509</v>
      </c>
      <c r="AI40" s="2278"/>
      <c r="AJ40" s="2272"/>
      <c r="AK40" s="2287"/>
      <c r="AL40" s="2290"/>
      <c r="AM40" s="2136"/>
      <c r="AS40" s="1164">
        <v>23</v>
      </c>
    </row>
    <row s="1275" customFormat="1" customHeight="1" ht="24">
      <c r="A41" s="1379"/>
      <c r="B41" s="1379" t="s">
        <v>216</v>
      </c>
      <c r="C41" s="1379" t="s">
        <v>217</v>
      </c>
      <c r="D41" s="1379" t="s">
        <v>218</v>
      </c>
      <c r="E41" s="1373" t="s">
        <v>510</v>
      </c>
      <c r="F41" s="1373" t="s">
        <v>511</v>
      </c>
      <c r="G41" s="1373" t="s">
        <v>512</v>
      </c>
      <c r="H41" s="1373" t="s">
        <v>513</v>
      </c>
      <c r="I41" s="1373" t="s">
        <v>514</v>
      </c>
      <c r="J41" s="1373" t="s">
        <v>515</v>
      </c>
      <c r="K41" s="1373" t="s">
        <v>516</v>
      </c>
      <c r="L41" s="1373" t="s">
        <v>491</v>
      </c>
      <c r="M41" s="1371"/>
      <c r="N41" s="1371"/>
      <c r="O41" s="1371"/>
      <c r="P41" s="1337"/>
      <c r="Q41" s="385"/>
      <c r="R41" s="385"/>
      <c r="S41" s="2282"/>
      <c r="T41" s="2218"/>
      <c r="U41" s="311"/>
      <c r="V41" s="2302"/>
      <c r="W41" s="2304"/>
      <c r="X41" s="1382" t="s">
        <v>517</v>
      </c>
      <c r="Y41" s="1382" t="s">
        <v>518</v>
      </c>
      <c r="Z41" s="1343" t="s">
        <v>519</v>
      </c>
      <c r="AA41" s="2279" t="s">
        <v>520</v>
      </c>
      <c r="AB41" s="2280"/>
      <c r="AC41" s="2288"/>
      <c r="AD41" s="2302"/>
      <c r="AE41" s="2304"/>
      <c r="AF41" s="1382" t="s">
        <v>517</v>
      </c>
      <c r="AG41" s="1382" t="s">
        <v>518</v>
      </c>
      <c r="AH41" s="1343" t="s">
        <v>519</v>
      </c>
      <c r="AI41" s="2279" t="s">
        <v>520</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267</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267</v>
      </c>
      <c r="B44" s="1372" t="s">
        <v>268</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509"/>
      <c r="AP44" s="509" t="str">
        <f>IF(T44="","",T44)</f>
        <v>Территория действия тарифа</v>
      </c>
      <c r="AQ44" s="509"/>
      <c r="AR44" s="509"/>
      <c r="AS44" s="1164">
        <v>21</v>
      </c>
    </row>
    <row customHeight="1" ht="24">
      <c r="A45" s="1372" t="s">
        <v>267</v>
      </c>
      <c r="B45" s="1372" t="s">
        <v>268</v>
      </c>
      <c r="C45" s="1372" t="s">
        <v>269</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509"/>
      <c r="AP45" s="509" t="str">
        <f>IF(T45="","",T45)</f>
        <v>Наименование системы теплоснабжения </v>
      </c>
      <c r="AQ45" s="509"/>
      <c r="AR45" s="509"/>
      <c r="AS45" s="1164">
        <v>23</v>
      </c>
    </row>
    <row customHeight="1" ht="22.049999999999997">
      <c r="A46" s="1372" t="s">
        <v>267</v>
      </c>
      <c r="B46" s="1372" t="s">
        <v>268</v>
      </c>
      <c r="C46" s="1372" t="s">
        <v>269</v>
      </c>
      <c r="D46" s="1372" t="s">
        <v>270</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509"/>
      <c r="AP46" s="509" t="str">
        <f>IF(T46="","",T46)</f>
        <v>Источник тепловой энергии  </v>
      </c>
      <c r="AQ46" s="509"/>
      <c r="AR46" s="509"/>
      <c r="AS46" s="1164">
        <v>21</v>
      </c>
    </row>
    <row customHeight="1" ht="49.5">
      <c r="A47" s="1372" t="s">
        <v>267</v>
      </c>
      <c r="B47" s="1372" t="s">
        <v>268</v>
      </c>
      <c r="C47" s="1372" t="s">
        <v>269</v>
      </c>
      <c r="D47" s="1372" t="s">
        <v>270</v>
      </c>
      <c r="E47" s="2268"/>
      <c r="F47" s="2268"/>
      <c r="G47" s="2268"/>
      <c r="H47" s="2268"/>
      <c r="I47" s="2265" t="str">
        <f>S46&amp;".1"</f>
        <v>....1</v>
      </c>
      <c r="J47" s="1372"/>
      <c r="K47" s="1372"/>
      <c r="L47" s="1373" t="s">
        <v>476</v>
      </c>
      <c r="P47" s="2266">
        <v>1</v>
      </c>
      <c r="Q47" s="1340"/>
      <c r="R47" s="365"/>
      <c r="S47" s="1345" t="str">
        <f>$I47</f>
        <v>....1</v>
      </c>
      <c r="T47" s="294" t="s">
        <v>477</v>
      </c>
      <c r="U47" s="309"/>
      <c r="V47" s="2254"/>
      <c r="W47" s="2255"/>
      <c r="X47" s="2255"/>
      <c r="Y47" s="2255"/>
      <c r="Z47" s="2255"/>
      <c r="AA47" s="2255"/>
      <c r="AB47" s="2255"/>
      <c r="AC47" s="2256"/>
      <c r="AD47" s="2254"/>
      <c r="AE47" s="2255"/>
      <c r="AF47" s="2255"/>
      <c r="AG47" s="2255"/>
      <c r="AH47" s="2255"/>
      <c r="AI47" s="2255"/>
      <c r="AJ47" s="2255"/>
      <c r="AK47" s="2255"/>
      <c r="AL47" s="2256"/>
      <c r="AM47" s="1267" t="s">
        <v>478</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267</v>
      </c>
      <c r="B48" s="1372" t="s">
        <v>268</v>
      </c>
      <c r="C48" s="1372" t="s">
        <v>269</v>
      </c>
      <c r="D48" s="1372" t="s">
        <v>270</v>
      </c>
      <c r="E48" s="2268"/>
      <c r="F48" s="2268"/>
      <c r="G48" s="2268"/>
      <c r="H48" s="2268"/>
      <c r="I48" s="2295"/>
      <c r="J48" s="2265" t="str">
        <f>I47&amp;".1"</f>
        <v>....1.1</v>
      </c>
      <c r="K48" s="1372"/>
      <c r="L48" s="1373" t="s">
        <v>479</v>
      </c>
      <c r="P48" s="2266"/>
      <c r="Q48" s="2266">
        <v>1</v>
      </c>
      <c r="R48" s="366"/>
      <c r="S48" s="1345" t="str">
        <f>$J48</f>
        <v>....1.1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509"/>
      <c r="AP48" s="509" t="str">
        <f>IF(T48="","",T48)</f>
        <v>Группа потребителей</v>
      </c>
      <c r="AQ48" s="509"/>
      <c r="AR48" s="509"/>
      <c r="AS48" s="1164">
        <v>21</v>
      </c>
    </row>
    <row customHeight="1" ht="22.049999999999997">
      <c r="A49" s="1372" t="s">
        <v>267</v>
      </c>
      <c r="B49" s="1372" t="s">
        <v>268</v>
      </c>
      <c r="C49" s="1372" t="s">
        <v>269</v>
      </c>
      <c r="D49" s="1372" t="s">
        <v>270</v>
      </c>
      <c r="E49" s="2268"/>
      <c r="F49" s="2268"/>
      <c r="G49" s="2268"/>
      <c r="H49" s="2268"/>
      <c r="I49" s="2295"/>
      <c r="J49" s="2295"/>
      <c r="K49" s="2265" t="str">
        <f>J48&amp;".1"</f>
        <v>....1.1.1</v>
      </c>
      <c r="L49" s="1373" t="s">
        <v>482</v>
      </c>
      <c r="P49" s="2266"/>
      <c r="Q49" s="2266"/>
      <c r="R49" s="366">
        <v>1</v>
      </c>
      <c r="S49" s="1345" t="str">
        <f>$K49</f>
        <v>....1.1.1</v>
      </c>
      <c r="T49" s="1356"/>
      <c r="U49" s="309"/>
      <c r="V49" s="334"/>
      <c r="W49" s="760"/>
      <c r="X49" s="334"/>
      <c r="Y49" s="393"/>
      <c r="Z49" s="2274"/>
      <c r="AA49" s="2116" t="s">
        <v>66</v>
      </c>
      <c r="AB49" s="2274"/>
      <c r="AC49" s="2116" t="s">
        <v>66</v>
      </c>
      <c r="AD49" s="334"/>
      <c r="AE49" s="760"/>
      <c r="AF49" s="334"/>
      <c r="AG49" s="393"/>
      <c r="AH49" s="2274"/>
      <c r="AI49" s="2116" t="s">
        <v>66</v>
      </c>
      <c r="AJ49" s="2296"/>
      <c r="AK49" s="2116" t="s">
        <v>66</v>
      </c>
      <c r="AL49" s="1357"/>
      <c r="AM49" s="2262" t="s">
        <v>483</v>
      </c>
      <c r="AN49" s="520">
        <f>STRCHECKDATE(V50:AL50)</f>
      </c>
      <c r="AO49" s="509"/>
      <c r="AP49" s="509" t="str">
        <f>IF(T49="","",T49)</f>
        <v/>
      </c>
      <c r="AQ49" s="509"/>
      <c r="AR49" s="509"/>
      <c r="AS49" s="1164">
        <v>21</v>
      </c>
    </row>
    <row customHeight="1" ht="1.05">
      <c r="A50" s="1372" t="s">
        <v>267</v>
      </c>
      <c r="B50" s="1372" t="s">
        <v>268</v>
      </c>
      <c r="C50" s="1372" t="s">
        <v>269</v>
      </c>
      <c r="D50" s="1372" t="s">
        <v>270</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267</v>
      </c>
      <c r="B51" s="1372" t="s">
        <v>268</v>
      </c>
      <c r="C51" s="1372" t="s">
        <v>269</v>
      </c>
      <c r="D51" s="1372" t="s">
        <v>270</v>
      </c>
      <c r="E51" s="2268"/>
      <c r="F51" s="2268"/>
      <c r="G51" s="2268"/>
      <c r="H51" s="2268"/>
      <c r="I51" s="2295"/>
      <c r="J51" s="2265"/>
      <c r="K51" s="1372"/>
      <c r="L51" s="1373"/>
      <c r="P51" s="2266"/>
      <c r="Q51" s="2266"/>
      <c r="R51" s="365"/>
      <c r="S51" s="1287"/>
      <c r="T51" s="297" t="s">
        <v>484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267</v>
      </c>
      <c r="B52" s="1372" t="s">
        <v>268</v>
      </c>
      <c r="C52" s="1372" t="s">
        <v>269</v>
      </c>
      <c r="D52" s="1372" t="s">
        <v>270</v>
      </c>
      <c r="E52" s="2268"/>
      <c r="F52" s="2268"/>
      <c r="G52" s="2268"/>
      <c r="H52" s="2268"/>
      <c r="I52" s="2265"/>
      <c r="J52" s="1372"/>
      <c r="K52" s="1372"/>
      <c r="L52" s="1373"/>
      <c r="P52" s="2266"/>
      <c r="Q52" s="1340"/>
      <c r="R52" s="365"/>
      <c r="S52" s="1287"/>
      <c r="T52" s="296" t="s">
        <v>485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267</v>
      </c>
      <c r="B53" s="1372" t="s">
        <v>268</v>
      </c>
      <c r="C53" s="1372" t="s">
        <v>269</v>
      </c>
      <c r="D53" s="1372" t="s">
        <v>270</v>
      </c>
      <c r="E53" s="2268"/>
      <c r="F53" s="2268"/>
      <c r="G53" s="2268"/>
      <c r="H53" s="2267"/>
      <c r="I53" s="1372"/>
      <c r="J53" s="1372"/>
      <c r="K53" s="1372"/>
      <c r="L53" s="1373"/>
      <c r="M53" s="1374"/>
      <c r="N53" s="1374"/>
      <c r="O53" s="546"/>
      <c r="P53" s="369"/>
      <c r="Q53" s="384"/>
      <c r="R53" s="364"/>
      <c r="S53" s="1287"/>
      <c r="T53" s="374" t="s">
        <v>486</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267</v>
      </c>
      <c r="B54" s="1352" t="s">
        <v>268</v>
      </c>
      <c r="C54" s="1352" t="s">
        <v>269</v>
      </c>
      <c r="D54" s="1323"/>
      <c r="E54" s="2268"/>
      <c r="F54" s="2268"/>
      <c r="G54" s="2267"/>
      <c r="H54" s="1323"/>
      <c r="I54" s="1323"/>
      <c r="J54" s="1323"/>
      <c r="K54" s="1323"/>
      <c r="L54" s="1348"/>
      <c r="M54" s="1324"/>
      <c r="N54" s="1324"/>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267</v>
      </c>
      <c r="B55" s="1352" t="s">
        <v>268</v>
      </c>
      <c r="C55" s="1323"/>
      <c r="D55" s="1323"/>
      <c r="E55" s="2268"/>
      <c r="F55" s="2267"/>
      <c r="G55" s="1323"/>
      <c r="H55" s="1323"/>
      <c r="I55" s="1323"/>
      <c r="J55" s="1323"/>
      <c r="K55" s="1323"/>
      <c r="L55" s="1348"/>
      <c r="M55" s="1330"/>
      <c r="N55" s="1330"/>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267</v>
      </c>
      <c r="B56" s="1352"/>
      <c r="C56" s="1352"/>
      <c r="D56" s="1352"/>
      <c r="E56" s="2267"/>
      <c r="F56" s="1352"/>
      <c r="G56" s="1352"/>
      <c r="H56" s="1352"/>
      <c r="I56" s="1352"/>
      <c r="J56" s="1352"/>
      <c r="K56" s="1352"/>
      <c r="L56" s="1355"/>
      <c r="M56" s="1330"/>
      <c r="N56" s="1330"/>
      <c r="O56" s="527"/>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82</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684721-BE8F-D378-C863-0.478EE07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475</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476</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479</v>
      </c>
      <c r="M7" s="546"/>
      <c r="N7" s="1375"/>
      <c r="P7" s="2266"/>
      <c r="Q7" s="2266">
        <v>1</v>
      </c>
      <c r="R7" s="366"/>
      <c r="S7" s="1345">
        <f>$J7</f>
      </c>
      <c r="T7" s="295" t="s">
        <v>480</v>
      </c>
      <c r="U7" s="309"/>
      <c r="V7" s="2254"/>
      <c r="W7" s="2255"/>
      <c r="X7" s="2255"/>
      <c r="Y7" s="2255"/>
      <c r="Z7" s="2255"/>
      <c r="AA7" s="2255"/>
      <c r="AB7" s="2255"/>
      <c r="AC7" s="2256"/>
      <c r="AD7" s="2254"/>
      <c r="AE7" s="2255"/>
      <c r="AF7" s="2255"/>
      <c r="AG7" s="2255"/>
      <c r="AH7" s="2255"/>
      <c r="AI7" s="2255"/>
      <c r="AJ7" s="2255"/>
      <c r="AK7" s="2255"/>
      <c r="AL7" s="2256"/>
      <c r="AM7" s="1267" t="s">
        <v>481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482</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491</v>
      </c>
      <c r="P22" s="1371"/>
      <c r="Q22" s="1380"/>
      <c r="R22" s="1380"/>
      <c r="S22" s="738"/>
      <c r="T22" s="1169" t="s">
        <v>492</v>
      </c>
      <c r="AA22" s="195" t="s">
        <v>493</v>
      </c>
      <c r="AC22" s="195" t="s">
        <v>494</v>
      </c>
      <c r="AD22" s="1169" t="s">
        <v>492</v>
      </c>
      <c r="AI22" s="195" t="s">
        <v>495</v>
      </c>
      <c r="AK22" s="195" t="s">
        <v>494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500</v>
      </c>
      <c r="AD36" s="335"/>
      <c r="AE36" s="335"/>
      <c r="AF36" s="335"/>
      <c r="AG36" s="335"/>
      <c r="AH36" s="335"/>
      <c r="AI36" s="335"/>
      <c r="AJ36" s="335"/>
      <c r="AK36" s="287" t="s">
        <v>500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164">
        <v>14</v>
      </c>
    </row>
    <row customHeight="1" ht="14.699999999999998">
      <c r="Q39" s="385"/>
      <c r="R39" s="385"/>
      <c r="S39" s="2282" t="s">
        <v>88</v>
      </c>
      <c r="T39" s="2218" t="s">
        <v>501</v>
      </c>
      <c r="U39" s="310"/>
      <c r="V39" s="2283" t="s">
        <v>502</v>
      </c>
      <c r="W39" s="2284"/>
      <c r="X39" s="2284"/>
      <c r="Y39" s="2284"/>
      <c r="Z39" s="2284"/>
      <c r="AA39" s="2284"/>
      <c r="AB39" s="2285"/>
      <c r="AC39" s="2286" t="s">
        <v>503</v>
      </c>
      <c r="AD39" s="2283" t="s">
        <v>502</v>
      </c>
      <c r="AE39" s="2284"/>
      <c r="AF39" s="2284"/>
      <c r="AG39" s="2284"/>
      <c r="AH39" s="2284"/>
      <c r="AI39" s="2284"/>
      <c r="AJ39" s="2285"/>
      <c r="AK39" s="2286" t="s">
        <v>504</v>
      </c>
      <c r="AL39" s="2289" t="s">
        <v>505</v>
      </c>
      <c r="AM39" s="2136"/>
      <c r="AS39" s="1164">
        <v>14</v>
      </c>
    </row>
    <row customHeight="1" ht="35.699999999999996">
      <c r="Q40" s="385"/>
      <c r="R40" s="385"/>
      <c r="S40" s="2282"/>
      <c r="T40" s="2218"/>
      <c r="U40" s="1040"/>
      <c r="V40" s="2269" t="s">
        <v>506</v>
      </c>
      <c r="W40" s="2292"/>
      <c r="X40" s="2271" t="s">
        <v>508</v>
      </c>
      <c r="Y40" s="2272"/>
      <c r="Z40" s="2271" t="s">
        <v>509</v>
      </c>
      <c r="AA40" s="2278"/>
      <c r="AB40" s="2272"/>
      <c r="AC40" s="2287"/>
      <c r="AD40" s="2269" t="s">
        <v>523</v>
      </c>
      <c r="AE40" s="2292"/>
      <c r="AF40" s="2271" t="s">
        <v>508</v>
      </c>
      <c r="AG40" s="2272"/>
      <c r="AH40" s="2271" t="s">
        <v>509</v>
      </c>
      <c r="AI40" s="2278"/>
      <c r="AJ40" s="2272"/>
      <c r="AK40" s="2287"/>
      <c r="AL40" s="2290"/>
      <c r="AM40" s="2136"/>
      <c r="AS40" s="1164">
        <v>34</v>
      </c>
    </row>
    <row customHeight="1" ht="35.699999999999996">
      <c r="A41" s="1379"/>
      <c r="B41" s="1379" t="s">
        <v>216</v>
      </c>
      <c r="C41" s="1379" t="s">
        <v>217</v>
      </c>
      <c r="D41" s="1379" t="s">
        <v>218</v>
      </c>
      <c r="E41" s="1373" t="s">
        <v>510</v>
      </c>
      <c r="F41" s="1373" t="s">
        <v>511</v>
      </c>
      <c r="G41" s="1373" t="s">
        <v>512</v>
      </c>
      <c r="H41" s="1373" t="s">
        <v>513</v>
      </c>
      <c r="I41" s="1373" t="s">
        <v>514</v>
      </c>
      <c r="J41" s="1373" t="s">
        <v>515</v>
      </c>
      <c r="K41" s="1373" t="s">
        <v>516</v>
      </c>
      <c r="L41" s="1373" t="s">
        <v>491</v>
      </c>
      <c r="Q41" s="385"/>
      <c r="R41" s="385"/>
      <c r="S41" s="2282"/>
      <c r="T41" s="2218"/>
      <c r="U41" s="311"/>
      <c r="V41" s="2270"/>
      <c r="W41" s="2293"/>
      <c r="X41" s="1231" t="s">
        <v>517</v>
      </c>
      <c r="Y41" s="1231" t="s">
        <v>518</v>
      </c>
      <c r="Z41" s="1347" t="s">
        <v>519</v>
      </c>
      <c r="AA41" s="2279" t="s">
        <v>520</v>
      </c>
      <c r="AB41" s="2280"/>
      <c r="AC41" s="2288"/>
      <c r="AD41" s="2270"/>
      <c r="AE41" s="2293"/>
      <c r="AF41" s="1231" t="s">
        <v>517</v>
      </c>
      <c r="AG41" s="1231" t="s">
        <v>518</v>
      </c>
      <c r="AH41" s="1347" t="s">
        <v>519</v>
      </c>
      <c r="AI41" s="2279" t="s">
        <v>520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243</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243</v>
      </c>
      <c r="B44" s="1372" t="s">
        <v>244</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509"/>
      <c r="AP44" s="509" t="str">
        <f>IF(T44="","",T44)</f>
        <v>Территория действия тарифа</v>
      </c>
      <c r="AQ44" s="509"/>
      <c r="AR44" s="509"/>
      <c r="AS44" s="1164">
        <v>21</v>
      </c>
    </row>
    <row customHeight="1" ht="24">
      <c r="A45" s="1372" t="s">
        <v>243</v>
      </c>
      <c r="B45" s="1372" t="s">
        <v>244</v>
      </c>
      <c r="C45" s="1372" t="s">
        <v>245</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509"/>
      <c r="AP45" s="509" t="str">
        <f>IF(T45="","",T45)</f>
        <v>Наименование системы теплоснабжения </v>
      </c>
      <c r="AQ45" s="509"/>
      <c r="AR45" s="509"/>
      <c r="AS45" s="1164">
        <v>23</v>
      </c>
    </row>
    <row customHeight="1" ht="22.049999999999997">
      <c r="A46" s="1372" t="s">
        <v>243</v>
      </c>
      <c r="B46" s="1372" t="s">
        <v>244</v>
      </c>
      <c r="C46" s="1372" t="s">
        <v>245</v>
      </c>
      <c r="D46" s="1372" t="s">
        <v>246</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509"/>
      <c r="AP46" s="509" t="str">
        <f>IF(T46="","",T46)</f>
        <v>Источник тепловой энергии  </v>
      </c>
      <c r="AQ46" s="509"/>
      <c r="AR46" s="509"/>
      <c r="AS46" s="1164">
        <v>21</v>
      </c>
    </row>
    <row s="1651" customFormat="1" customHeight="1" ht="0">
      <c r="A47" s="1352" t="s">
        <v>243</v>
      </c>
      <c r="B47" s="1352" t="s">
        <v>244</v>
      </c>
      <c r="C47" s="1352" t="s">
        <v>245</v>
      </c>
      <c r="D47" s="1352" t="s">
        <v>246</v>
      </c>
      <c r="E47" s="2268"/>
      <c r="F47" s="2268"/>
      <c r="G47" s="2268"/>
      <c r="H47" s="2268"/>
      <c r="I47" s="2265" t="str">
        <f>S46&amp;".1"</f>
        <v>....1</v>
      </c>
      <c r="J47" s="1352"/>
      <c r="K47" s="1352"/>
      <c r="L47" s="1355" t="s">
        <v>476</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243</v>
      </c>
      <c r="B48" s="1372" t="s">
        <v>244</v>
      </c>
      <c r="C48" s="1372" t="s">
        <v>245</v>
      </c>
      <c r="D48" s="1372" t="s">
        <v>246</v>
      </c>
      <c r="E48" s="2268"/>
      <c r="F48" s="2268"/>
      <c r="G48" s="2268"/>
      <c r="H48" s="2268"/>
      <c r="I48" s="2295"/>
      <c r="J48" s="2265" t="str">
        <f>S46&amp;".1"</f>
        <v>....1</v>
      </c>
      <c r="K48" s="1372"/>
      <c r="L48" s="1373" t="s">
        <v>479</v>
      </c>
      <c r="P48" s="2266"/>
      <c r="Q48" s="2266">
        <v>1</v>
      </c>
      <c r="R48" s="366"/>
      <c r="S48" s="1345" t="str">
        <f>$J48</f>
        <v>....1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509"/>
      <c r="AP48" s="509" t="str">
        <f>IF(T48="","",T48)</f>
        <v>Группа потребителей</v>
      </c>
      <c r="AQ48" s="509"/>
      <c r="AR48" s="509"/>
      <c r="AS48" s="1164">
        <v>21</v>
      </c>
    </row>
    <row customHeight="1" ht="22.049999999999997">
      <c r="A49" s="1372" t="s">
        <v>243</v>
      </c>
      <c r="B49" s="1372" t="s">
        <v>244</v>
      </c>
      <c r="C49" s="1372" t="s">
        <v>245</v>
      </c>
      <c r="D49" s="1372" t="s">
        <v>246</v>
      </c>
      <c r="E49" s="2268"/>
      <c r="F49" s="2268"/>
      <c r="G49" s="2268"/>
      <c r="H49" s="2268"/>
      <c r="I49" s="2295"/>
      <c r="J49" s="2295"/>
      <c r="K49" s="2265" t="str">
        <f>J48&amp;".1"</f>
        <v>....1.1</v>
      </c>
      <c r="L49" s="1373" t="s">
        <v>482</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524</v>
      </c>
      <c r="AN49" s="520">
        <f>STRCHECKDATE(V50:AL50)</f>
      </c>
      <c r="AO49" s="509"/>
      <c r="AP49" s="509" t="str">
        <f>IF(T49="","",T49)</f>
        <v/>
      </c>
      <c r="AQ49" s="509"/>
      <c r="AR49" s="509"/>
      <c r="AS49" s="1164">
        <v>21</v>
      </c>
    </row>
    <row customHeight="1" ht="1.05">
      <c r="A50" s="1372" t="s">
        <v>243</v>
      </c>
      <c r="B50" s="1372" t="s">
        <v>244</v>
      </c>
      <c r="C50" s="1372" t="s">
        <v>245</v>
      </c>
      <c r="D50" s="1372" t="s">
        <v>246</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243</v>
      </c>
      <c r="B51" s="1372" t="s">
        <v>244</v>
      </c>
      <c r="C51" s="1372" t="s">
        <v>245</v>
      </c>
      <c r="D51" s="1372" t="s">
        <v>246</v>
      </c>
      <c r="E51" s="2268"/>
      <c r="F51" s="2268"/>
      <c r="G51" s="2268"/>
      <c r="H51" s="2268"/>
      <c r="I51" s="2295"/>
      <c r="J51" s="2265"/>
      <c r="K51" s="1372"/>
      <c r="L51" s="1373"/>
      <c r="P51" s="2266"/>
      <c r="Q51" s="2266"/>
      <c r="R51" s="365"/>
      <c r="S51" s="1287"/>
      <c r="T51" s="296" t="s">
        <v>484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243</v>
      </c>
      <c r="B52" s="1372" t="s">
        <v>244</v>
      </c>
      <c r="C52" s="1372" t="s">
        <v>245</v>
      </c>
      <c r="D52" s="1372" t="s">
        <v>246</v>
      </c>
      <c r="E52" s="2268"/>
      <c r="F52" s="2268"/>
      <c r="G52" s="2268"/>
      <c r="H52" s="2268"/>
      <c r="I52" s="2265"/>
      <c r="J52" s="1372"/>
      <c r="K52" s="1372"/>
      <c r="L52" s="1373"/>
      <c r="P52" s="2266"/>
      <c r="Q52" s="1340"/>
      <c r="R52" s="365"/>
      <c r="S52" s="1287"/>
      <c r="T52" s="374" t="s">
        <v>485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243</v>
      </c>
      <c r="B53" s="1372" t="s">
        <v>244</v>
      </c>
      <c r="C53" s="1372" t="s">
        <v>245</v>
      </c>
      <c r="D53" s="1372" t="s">
        <v>246</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243</v>
      </c>
      <c r="B54" s="1352" t="s">
        <v>244</v>
      </c>
      <c r="C54" s="1352" t="s">
        <v>245</v>
      </c>
      <c r="D54" s="1323"/>
      <c r="E54" s="2268"/>
      <c r="F54" s="2268"/>
      <c r="G54" s="2267"/>
      <c r="H54" s="1323"/>
      <c r="I54" s="1323"/>
      <c r="J54" s="1323"/>
      <c r="K54" s="1323"/>
      <c r="L54" s="1348"/>
      <c r="M54" s="1324"/>
      <c r="N54" s="1324"/>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243</v>
      </c>
      <c r="B55" s="1352" t="s">
        <v>244</v>
      </c>
      <c r="C55" s="1323"/>
      <c r="D55" s="1323"/>
      <c r="E55" s="2268"/>
      <c r="F55" s="2267"/>
      <c r="G55" s="1323"/>
      <c r="H55" s="1323"/>
      <c r="I55" s="1323"/>
      <c r="J55" s="1323"/>
      <c r="K55" s="1323"/>
      <c r="L55" s="1348"/>
      <c r="M55" s="1330"/>
      <c r="N55" s="1330"/>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243</v>
      </c>
      <c r="B56" s="1352"/>
      <c r="C56" s="1352"/>
      <c r="D56" s="1352"/>
      <c r="E56" s="2267"/>
      <c r="F56" s="1352"/>
      <c r="G56" s="1352"/>
      <c r="H56" s="1352"/>
      <c r="I56" s="1352"/>
      <c r="J56" s="1352"/>
      <c r="K56" s="1352"/>
      <c r="L56" s="1355"/>
      <c r="M56" s="1330"/>
      <c r="N56" s="1330"/>
      <c r="O56" s="527"/>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426BE-CA74-B4DD-4C99-0.74521BA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472</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473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474</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475</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476</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479</v>
      </c>
      <c r="M7" s="546"/>
      <c r="N7" s="1375"/>
      <c r="P7" s="2266"/>
      <c r="Q7" s="2266">
        <v>1</v>
      </c>
      <c r="R7" s="1651"/>
      <c r="S7" s="2016">
        <f>$J7</f>
      </c>
      <c r="T7" s="295" t="s">
        <v>480</v>
      </c>
      <c r="U7" s="309"/>
      <c r="V7" s="2314"/>
      <c r="W7" s="2314"/>
      <c r="X7" s="2314"/>
      <c r="Y7" s="2314"/>
      <c r="Z7" s="2314"/>
      <c r="AA7" s="2314"/>
      <c r="AB7" s="2314"/>
      <c r="AC7" s="2314"/>
      <c r="AD7" s="2314"/>
      <c r="AE7" s="2314"/>
      <c r="AF7" s="2314"/>
      <c r="AG7" s="2314"/>
      <c r="AH7" s="2314"/>
      <c r="AI7" s="2314"/>
      <c r="AJ7" s="2314"/>
      <c r="AK7" s="2314"/>
      <c r="AL7" s="2314"/>
      <c r="AM7" s="2019" t="s">
        <v>481</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482</v>
      </c>
      <c r="M8" s="546"/>
      <c r="N8" s="1375"/>
      <c r="O8" s="1375"/>
      <c r="P8" s="2266"/>
      <c r="Q8" s="2266"/>
      <c r="R8" s="366">
        <v>1</v>
      </c>
      <c r="S8" s="2018">
        <f>$K8</f>
      </c>
      <c r="T8" s="2023"/>
      <c r="U8" s="2024"/>
      <c r="V8" s="2025"/>
      <c r="W8" s="1358"/>
      <c r="X8" s="2025"/>
      <c r="Y8" s="2026"/>
      <c r="Z8" s="2315"/>
      <c r="AA8" s="2121" t="s">
        <v>66</v>
      </c>
      <c r="AB8" s="2315"/>
      <c r="AC8" s="2121" t="s">
        <v>66</v>
      </c>
      <c r="AD8" s="2025"/>
      <c r="AE8" s="1358"/>
      <c r="AF8" s="2025"/>
      <c r="AG8" s="2026"/>
      <c r="AH8" s="2315"/>
      <c r="AI8" s="2121" t="s">
        <v>66</v>
      </c>
      <c r="AJ8" s="2315"/>
      <c r="AK8" s="2121" t="s">
        <v>66</v>
      </c>
      <c r="AL8" s="1358"/>
      <c r="AM8" s="2262" t="s">
        <v>483</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491</v>
      </c>
      <c r="P22" s="1371"/>
      <c r="Q22" s="1380"/>
      <c r="R22" s="1380"/>
      <c r="S22" s="738"/>
      <c r="T22" s="1169" t="s">
        <v>492</v>
      </c>
      <c r="AA22" s="195" t="s">
        <v>493</v>
      </c>
      <c r="AC22" s="195" t="s">
        <v>494</v>
      </c>
      <c r="AD22" s="1169" t="s">
        <v>492</v>
      </c>
      <c r="AI22" s="195" t="s">
        <v>495</v>
      </c>
      <c r="AK22" s="195" t="s">
        <v>494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500</v>
      </c>
      <c r="AD36" s="335"/>
      <c r="AE36" s="335"/>
      <c r="AF36" s="335"/>
      <c r="AG36" s="335"/>
      <c r="AH36" s="335"/>
      <c r="AI36" s="335"/>
      <c r="AJ36" s="335"/>
      <c r="AK36" s="287" t="s">
        <v>500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164">
        <v>14</v>
      </c>
    </row>
    <row customHeight="1" ht="14.699999999999998">
      <c r="Q39" s="385"/>
      <c r="R39" s="385"/>
      <c r="S39" s="2282" t="s">
        <v>88</v>
      </c>
      <c r="T39" s="2218" t="s">
        <v>501</v>
      </c>
      <c r="U39" s="310"/>
      <c r="V39" s="2283" t="s">
        <v>502</v>
      </c>
      <c r="W39" s="2284"/>
      <c r="X39" s="2284"/>
      <c r="Y39" s="2284"/>
      <c r="Z39" s="2284"/>
      <c r="AA39" s="2284"/>
      <c r="AB39" s="2285"/>
      <c r="AC39" s="2286" t="s">
        <v>503</v>
      </c>
      <c r="AD39" s="2283" t="s">
        <v>502</v>
      </c>
      <c r="AE39" s="2284"/>
      <c r="AF39" s="2284"/>
      <c r="AG39" s="2284"/>
      <c r="AH39" s="2284"/>
      <c r="AI39" s="2284"/>
      <c r="AJ39" s="2285"/>
      <c r="AK39" s="2286" t="s">
        <v>504</v>
      </c>
      <c r="AL39" s="2289" t="s">
        <v>505</v>
      </c>
      <c r="AM39" s="2136"/>
      <c r="AS39" s="1164">
        <v>14</v>
      </c>
    </row>
    <row customHeight="1" ht="35.699999999999996">
      <c r="Q40" s="385"/>
      <c r="R40" s="385"/>
      <c r="S40" s="2282"/>
      <c r="T40" s="2218"/>
      <c r="U40" s="1040"/>
      <c r="V40" s="2269" t="s">
        <v>506</v>
      </c>
      <c r="W40" s="2292"/>
      <c r="X40" s="2271" t="s">
        <v>508</v>
      </c>
      <c r="Y40" s="2272"/>
      <c r="Z40" s="2271" t="s">
        <v>509</v>
      </c>
      <c r="AA40" s="2278"/>
      <c r="AB40" s="2272"/>
      <c r="AC40" s="2287"/>
      <c r="AD40" s="2269" t="s">
        <v>523</v>
      </c>
      <c r="AE40" s="2292"/>
      <c r="AF40" s="2271" t="s">
        <v>508</v>
      </c>
      <c r="AG40" s="2272"/>
      <c r="AH40" s="2271" t="s">
        <v>509</v>
      </c>
      <c r="AI40" s="2278"/>
      <c r="AJ40" s="2272"/>
      <c r="AK40" s="2287"/>
      <c r="AL40" s="2290"/>
      <c r="AM40" s="2136"/>
      <c r="AS40" s="1164">
        <v>34</v>
      </c>
    </row>
    <row customHeight="1" ht="35.699999999999996">
      <c r="A41" s="1379"/>
      <c r="B41" s="1379" t="s">
        <v>216</v>
      </c>
      <c r="C41" s="1379" t="s">
        <v>217</v>
      </c>
      <c r="D41" s="1379" t="s">
        <v>218</v>
      </c>
      <c r="E41" s="1373" t="s">
        <v>510</v>
      </c>
      <c r="F41" s="1373" t="s">
        <v>511</v>
      </c>
      <c r="G41" s="1373" t="s">
        <v>512</v>
      </c>
      <c r="H41" s="1373" t="s">
        <v>513</v>
      </c>
      <c r="I41" s="1373" t="s">
        <v>514</v>
      </c>
      <c r="J41" s="1373" t="s">
        <v>515</v>
      </c>
      <c r="K41" s="1373" t="s">
        <v>516</v>
      </c>
      <c r="L41" s="1373" t="s">
        <v>491</v>
      </c>
      <c r="Q41" s="385"/>
      <c r="R41" s="385"/>
      <c r="S41" s="2282"/>
      <c r="T41" s="2218"/>
      <c r="U41" s="311"/>
      <c r="V41" s="2270"/>
      <c r="W41" s="2293"/>
      <c r="X41" s="1231" t="s">
        <v>517</v>
      </c>
      <c r="Y41" s="1231" t="s">
        <v>518</v>
      </c>
      <c r="Z41" s="1347" t="s">
        <v>519</v>
      </c>
      <c r="AA41" s="2279" t="s">
        <v>520</v>
      </c>
      <c r="AB41" s="2280"/>
      <c r="AC41" s="2288"/>
      <c r="AD41" s="2270"/>
      <c r="AE41" s="2293"/>
      <c r="AF41" s="1231" t="s">
        <v>517</v>
      </c>
      <c r="AG41" s="1231" t="s">
        <v>518</v>
      </c>
      <c r="AH41" s="1347" t="s">
        <v>519</v>
      </c>
      <c r="AI41" s="2279" t="s">
        <v>520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255</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255</v>
      </c>
      <c r="B44" s="1372" t="s">
        <v>256</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509"/>
      <c r="AP44" s="509" t="str">
        <f>IF(T44="","",T44)</f>
        <v>Территория действия тарифа</v>
      </c>
      <c r="AQ44" s="509"/>
      <c r="AR44" s="509"/>
      <c r="AS44" s="1164">
        <v>21</v>
      </c>
    </row>
    <row customHeight="1" ht="24">
      <c r="A45" s="1372" t="s">
        <v>255</v>
      </c>
      <c r="B45" s="1372" t="s">
        <v>256</v>
      </c>
      <c r="C45" s="1372" t="s">
        <v>257</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509"/>
      <c r="AP45" s="509" t="str">
        <f>IF(T45="","",T45)</f>
        <v>Наименование системы теплоснабжения </v>
      </c>
      <c r="AQ45" s="509"/>
      <c r="AR45" s="509"/>
      <c r="AS45" s="1164">
        <v>23</v>
      </c>
    </row>
    <row customHeight="1" ht="22.049999999999997">
      <c r="A46" s="1372" t="s">
        <v>255</v>
      </c>
      <c r="B46" s="1372" t="s">
        <v>256</v>
      </c>
      <c r="C46" s="1372" t="s">
        <v>257</v>
      </c>
      <c r="D46" s="1372" t="s">
        <v>258</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509"/>
      <c r="AP46" s="509" t="str">
        <f>IF(T46="","",T46)</f>
        <v>Источник тепловой энергии  </v>
      </c>
      <c r="AQ46" s="509"/>
      <c r="AR46" s="509"/>
      <c r="AS46" s="1164">
        <v>21</v>
      </c>
    </row>
    <row s="1651" customFormat="1" customHeight="1" ht="0">
      <c r="A47" s="1352" t="s">
        <v>255</v>
      </c>
      <c r="B47" s="1352" t="s">
        <v>256</v>
      </c>
      <c r="C47" s="1352" t="s">
        <v>257</v>
      </c>
      <c r="D47" s="1352" t="s">
        <v>258</v>
      </c>
      <c r="E47" s="2268"/>
      <c r="F47" s="2268"/>
      <c r="G47" s="2268"/>
      <c r="H47" s="2268"/>
      <c r="I47" s="2265" t="str">
        <f>S46&amp;".1"</f>
        <v>....1</v>
      </c>
      <c r="J47" s="1352"/>
      <c r="K47" s="1352"/>
      <c r="L47" s="1355" t="s">
        <v>476</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255</v>
      </c>
      <c r="B48" s="1372" t="s">
        <v>256</v>
      </c>
      <c r="C48" s="1372" t="s">
        <v>257</v>
      </c>
      <c r="D48" s="1372" t="s">
        <v>258</v>
      </c>
      <c r="E48" s="2268"/>
      <c r="F48" s="2268"/>
      <c r="G48" s="2268"/>
      <c r="H48" s="2268"/>
      <c r="I48" s="2295"/>
      <c r="J48" s="2265" t="str">
        <f>S46&amp;".1"</f>
        <v>....1</v>
      </c>
      <c r="K48" s="1372"/>
      <c r="L48" s="1373" t="s">
        <v>479</v>
      </c>
      <c r="P48" s="2266"/>
      <c r="Q48" s="2266">
        <v>1</v>
      </c>
      <c r="R48" s="366"/>
      <c r="S48" s="1345" t="str">
        <f>$J48</f>
        <v>....1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509"/>
      <c r="AP48" s="509" t="str">
        <f>IF(T48="","",T48)</f>
        <v>Группа потребителей</v>
      </c>
      <c r="AQ48" s="509"/>
      <c r="AR48" s="509"/>
      <c r="AS48" s="1164">
        <v>21</v>
      </c>
    </row>
    <row customHeight="1" ht="22.049999999999997">
      <c r="A49" s="1372" t="s">
        <v>255</v>
      </c>
      <c r="B49" s="1372" t="s">
        <v>256</v>
      </c>
      <c r="C49" s="1372" t="s">
        <v>257</v>
      </c>
      <c r="D49" s="1372" t="s">
        <v>258</v>
      </c>
      <c r="E49" s="2268"/>
      <c r="F49" s="2268"/>
      <c r="G49" s="2268"/>
      <c r="H49" s="2268"/>
      <c r="I49" s="2295"/>
      <c r="J49" s="2295"/>
      <c r="K49" s="2265" t="str">
        <f>J48&amp;".1"</f>
        <v>....1.1</v>
      </c>
      <c r="L49" s="1373" t="s">
        <v>482</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524</v>
      </c>
      <c r="AN49" s="520">
        <f>STRCHECKDATE(V50:AL50)</f>
      </c>
      <c r="AO49" s="509"/>
      <c r="AP49" s="509" t="str">
        <f>IF(T49="","",T49)</f>
        <v/>
      </c>
      <c r="AQ49" s="509"/>
      <c r="AR49" s="509"/>
      <c r="AS49" s="1164">
        <v>21</v>
      </c>
    </row>
    <row customHeight="1" ht="1.05">
      <c r="A50" s="1372" t="s">
        <v>255</v>
      </c>
      <c r="B50" s="1372" t="s">
        <v>256</v>
      </c>
      <c r="C50" s="1372" t="s">
        <v>257</v>
      </c>
      <c r="D50" s="1372" t="s">
        <v>258</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255</v>
      </c>
      <c r="B51" s="1372" t="s">
        <v>256</v>
      </c>
      <c r="C51" s="1372" t="s">
        <v>257</v>
      </c>
      <c r="D51" s="1372" t="s">
        <v>258</v>
      </c>
      <c r="E51" s="2268"/>
      <c r="F51" s="2268"/>
      <c r="G51" s="2268"/>
      <c r="H51" s="2268"/>
      <c r="I51" s="2295"/>
      <c r="J51" s="2265"/>
      <c r="K51" s="1372"/>
      <c r="L51" s="1373"/>
      <c r="P51" s="2266"/>
      <c r="Q51" s="2266"/>
      <c r="R51" s="365"/>
      <c r="S51" s="1287"/>
      <c r="T51" s="296" t="s">
        <v>484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255</v>
      </c>
      <c r="B52" s="1372" t="s">
        <v>256</v>
      </c>
      <c r="C52" s="1372" t="s">
        <v>257</v>
      </c>
      <c r="D52" s="1372" t="s">
        <v>258</v>
      </c>
      <c r="E52" s="2268"/>
      <c r="F52" s="2268"/>
      <c r="G52" s="2268"/>
      <c r="H52" s="2268"/>
      <c r="I52" s="2265"/>
      <c r="J52" s="1372"/>
      <c r="K52" s="1372"/>
      <c r="L52" s="1373"/>
      <c r="P52" s="2266"/>
      <c r="Q52" s="1340"/>
      <c r="R52" s="365"/>
      <c r="S52" s="1287"/>
      <c r="T52" s="374" t="s">
        <v>485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255</v>
      </c>
      <c r="B53" s="1372" t="s">
        <v>256</v>
      </c>
      <c r="C53" s="1372" t="s">
        <v>257</v>
      </c>
      <c r="D53" s="1372" t="s">
        <v>258</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255</v>
      </c>
      <c r="B54" s="1352" t="s">
        <v>256</v>
      </c>
      <c r="C54" s="1352" t="s">
        <v>257</v>
      </c>
      <c r="D54" s="1323"/>
      <c r="E54" s="2268"/>
      <c r="F54" s="2268"/>
      <c r="G54" s="2267"/>
      <c r="H54" s="1323"/>
      <c r="I54" s="1323"/>
      <c r="J54" s="1323"/>
      <c r="K54" s="1323"/>
      <c r="L54" s="1348"/>
      <c r="M54" s="1324"/>
      <c r="N54" s="1324"/>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255</v>
      </c>
      <c r="B55" s="1352" t="s">
        <v>256</v>
      </c>
      <c r="C55" s="1323"/>
      <c r="D55" s="1323"/>
      <c r="E55" s="2268"/>
      <c r="F55" s="2267"/>
      <c r="G55" s="1323"/>
      <c r="H55" s="1323"/>
      <c r="I55" s="1323"/>
      <c r="J55" s="1323"/>
      <c r="K55" s="1323"/>
      <c r="L55" s="1348"/>
      <c r="M55" s="1330"/>
      <c r="N55" s="1330"/>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255</v>
      </c>
      <c r="B56" s="1352"/>
      <c r="C56" s="1352"/>
      <c r="D56" s="1352"/>
      <c r="E56" s="2267"/>
      <c r="F56" s="1352"/>
      <c r="G56" s="1352"/>
      <c r="H56" s="1352"/>
      <c r="I56" s="1352"/>
      <c r="J56" s="1352"/>
      <c r="K56" s="1352"/>
      <c r="L56" s="1355"/>
      <c r="M56" s="1330"/>
      <c r="N56" s="1330"/>
      <c r="O56" s="527"/>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E196E4-0F3C-6518-7DBC-0.75B455FC}"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204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469</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470</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471</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472</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473</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474</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475</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476</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479</v>
      </c>
      <c r="M7" s="546"/>
      <c r="N7" s="1375"/>
      <c r="P7" s="2266"/>
      <c r="Q7" s="2266">
        <v>1</v>
      </c>
      <c r="R7" s="366"/>
      <c r="S7" s="1345">
        <f>$J7</f>
      </c>
      <c r="T7" s="295" t="s">
        <v>480</v>
      </c>
      <c r="U7" s="309"/>
      <c r="V7" s="2254"/>
      <c r="W7" s="2255"/>
      <c r="X7" s="2255"/>
      <c r="Y7" s="2255"/>
      <c r="Z7" s="2255"/>
      <c r="AA7" s="2255"/>
      <c r="AB7" s="2255"/>
      <c r="AC7" s="2256"/>
      <c r="AD7" s="2254"/>
      <c r="AE7" s="2255"/>
      <c r="AF7" s="2255"/>
      <c r="AG7" s="2255"/>
      <c r="AH7" s="2255"/>
      <c r="AI7" s="2255"/>
      <c r="AJ7" s="2255"/>
      <c r="AK7" s="2255"/>
      <c r="AL7" s="2256"/>
      <c r="AM7" s="1267" t="s">
        <v>481</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482</v>
      </c>
      <c r="M8" s="546"/>
      <c r="N8" s="1375"/>
      <c r="O8" s="1375"/>
      <c r="P8" s="2266"/>
      <c r="Q8" s="2266"/>
      <c r="R8" s="366">
        <v>1</v>
      </c>
      <c r="S8" s="1345">
        <f>$K8</f>
      </c>
      <c r="T8" s="1356"/>
      <c r="U8" s="309"/>
      <c r="V8" s="760"/>
      <c r="W8" s="334"/>
      <c r="X8" s="760"/>
      <c r="Y8" s="1266"/>
      <c r="Z8" s="2274"/>
      <c r="AA8" s="2116" t="s">
        <v>66</v>
      </c>
      <c r="AB8" s="2274"/>
      <c r="AC8" s="2116" t="s">
        <v>66</v>
      </c>
      <c r="AD8" s="760"/>
      <c r="AE8" s="334"/>
      <c r="AF8" s="760"/>
      <c r="AG8" s="1266"/>
      <c r="AH8" s="2274"/>
      <c r="AI8" s="2116" t="s">
        <v>66</v>
      </c>
      <c r="AJ8" s="2274"/>
      <c r="AK8" s="2116" t="s">
        <v>66</v>
      </c>
      <c r="AL8" s="334"/>
      <c r="AM8" s="2262" t="s">
        <v>483</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484</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485</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487</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488</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489</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66</v>
      </c>
      <c r="AJ17" s="2276"/>
      <c r="AK17" s="2277" t="s">
        <v>66</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490</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491</v>
      </c>
      <c r="P22" s="1371"/>
      <c r="Q22" s="1380"/>
      <c r="R22" s="1380"/>
      <c r="S22" s="738"/>
      <c r="T22" s="1169" t="s">
        <v>492</v>
      </c>
      <c r="AA22" s="195" t="s">
        <v>493</v>
      </c>
      <c r="AC22" s="195" t="s">
        <v>494</v>
      </c>
      <c r="AD22" s="1169" t="s">
        <v>492</v>
      </c>
      <c r="AI22" s="195" t="s">
        <v>495</v>
      </c>
      <c r="AK22" s="195" t="s">
        <v>494</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ООО "СамРЭК-Тепло Жигулевск"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496</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497</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498</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499</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500</v>
      </c>
      <c r="AD36" s="335"/>
      <c r="AE36" s="335"/>
      <c r="AF36" s="335"/>
      <c r="AG36" s="335"/>
      <c r="AH36" s="335"/>
      <c r="AI36" s="335"/>
      <c r="AJ36" s="335"/>
      <c r="AK36" s="287" t="s">
        <v>500</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373</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374</v>
      </c>
      <c r="AS38" s="1164">
        <v>14</v>
      </c>
    </row>
    <row customHeight="1" ht="14.699999999999998">
      <c r="Q39" s="385"/>
      <c r="R39" s="385"/>
      <c r="S39" s="2282" t="s">
        <v>88</v>
      </c>
      <c r="T39" s="2218" t="s">
        <v>501</v>
      </c>
      <c r="U39" s="310"/>
      <c r="V39" s="2283" t="s">
        <v>502</v>
      </c>
      <c r="W39" s="2284"/>
      <c r="X39" s="2284"/>
      <c r="Y39" s="2284"/>
      <c r="Z39" s="2284"/>
      <c r="AA39" s="2284"/>
      <c r="AB39" s="2285"/>
      <c r="AC39" s="2286" t="s">
        <v>503</v>
      </c>
      <c r="AD39" s="2283" t="s">
        <v>502</v>
      </c>
      <c r="AE39" s="2284"/>
      <c r="AF39" s="2284"/>
      <c r="AG39" s="2284"/>
      <c r="AH39" s="2284"/>
      <c r="AI39" s="2284"/>
      <c r="AJ39" s="2285"/>
      <c r="AK39" s="2286" t="s">
        <v>504</v>
      </c>
      <c r="AL39" s="2289" t="s">
        <v>505</v>
      </c>
      <c r="AM39" s="2136"/>
      <c r="AS39" s="1164">
        <v>14</v>
      </c>
    </row>
    <row customHeight="1" ht="35.699999999999996">
      <c r="Q40" s="385"/>
      <c r="R40" s="385"/>
      <c r="S40" s="2282"/>
      <c r="T40" s="2218"/>
      <c r="U40" s="1040"/>
      <c r="V40" s="2269" t="s">
        <v>506</v>
      </c>
      <c r="W40" s="2292"/>
      <c r="X40" s="2271" t="s">
        <v>508</v>
      </c>
      <c r="Y40" s="2272"/>
      <c r="Z40" s="2271" t="s">
        <v>509</v>
      </c>
      <c r="AA40" s="2278"/>
      <c r="AB40" s="2272"/>
      <c r="AC40" s="2287"/>
      <c r="AD40" s="2269" t="s">
        <v>523</v>
      </c>
      <c r="AE40" s="2292"/>
      <c r="AF40" s="2271" t="s">
        <v>508</v>
      </c>
      <c r="AG40" s="2272"/>
      <c r="AH40" s="2271" t="s">
        <v>509</v>
      </c>
      <c r="AI40" s="2278"/>
      <c r="AJ40" s="2272"/>
      <c r="AK40" s="2287"/>
      <c r="AL40" s="2290"/>
      <c r="AM40" s="2136"/>
      <c r="AS40" s="1164">
        <v>34</v>
      </c>
    </row>
    <row customHeight="1" ht="35.699999999999996">
      <c r="A41" s="1379"/>
      <c r="B41" s="1379" t="s">
        <v>216</v>
      </c>
      <c r="C41" s="1379" t="s">
        <v>217</v>
      </c>
      <c r="D41" s="1379" t="s">
        <v>218</v>
      </c>
      <c r="E41" s="1373" t="s">
        <v>510</v>
      </c>
      <c r="F41" s="1373" t="s">
        <v>511</v>
      </c>
      <c r="G41" s="1373" t="s">
        <v>512</v>
      </c>
      <c r="H41" s="1373" t="s">
        <v>513</v>
      </c>
      <c r="I41" s="1373" t="s">
        <v>514</v>
      </c>
      <c r="J41" s="1373" t="s">
        <v>515</v>
      </c>
      <c r="K41" s="1373" t="s">
        <v>516</v>
      </c>
      <c r="L41" s="1373" t="s">
        <v>491</v>
      </c>
      <c r="Q41" s="385"/>
      <c r="R41" s="385"/>
      <c r="S41" s="2282"/>
      <c r="T41" s="2218"/>
      <c r="U41" s="311"/>
      <c r="V41" s="2270"/>
      <c r="W41" s="2293"/>
      <c r="X41" s="1231" t="s">
        <v>517</v>
      </c>
      <c r="Y41" s="1231" t="s">
        <v>518</v>
      </c>
      <c r="Z41" s="1347" t="s">
        <v>519</v>
      </c>
      <c r="AA41" s="2279" t="s">
        <v>520</v>
      </c>
      <c r="AB41" s="2280"/>
      <c r="AC41" s="2288"/>
      <c r="AD41" s="2270"/>
      <c r="AE41" s="2293"/>
      <c r="AF41" s="1231" t="s">
        <v>517</v>
      </c>
      <c r="AG41" s="1231" t="s">
        <v>518</v>
      </c>
      <c r="AH41" s="1347" t="s">
        <v>519</v>
      </c>
      <c r="AI41" s="2279" t="s">
        <v>520</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261</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204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261</v>
      </c>
      <c r="B44" s="1372" t="s">
        <v>262</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470</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471</v>
      </c>
      <c r="AO44" s="509"/>
      <c r="AP44" s="509" t="str">
        <f>IF(T44="","",T44)</f>
        <v>Территория действия тарифа</v>
      </c>
      <c r="AQ44" s="509"/>
      <c r="AR44" s="509"/>
      <c r="AS44" s="1164">
        <v>21</v>
      </c>
    </row>
    <row customHeight="1" ht="24">
      <c r="A45" s="1372" t="s">
        <v>261</v>
      </c>
      <c r="B45" s="1372" t="s">
        <v>262</v>
      </c>
      <c r="C45" s="1372" t="s">
        <v>263</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472</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473</v>
      </c>
      <c r="AO45" s="509"/>
      <c r="AP45" s="509" t="str">
        <f>IF(T45="","",T45)</f>
        <v>Наименование системы теплоснабжения </v>
      </c>
      <c r="AQ45" s="509"/>
      <c r="AR45" s="509"/>
      <c r="AS45" s="1164">
        <v>23</v>
      </c>
    </row>
    <row customHeight="1" ht="22.049999999999997">
      <c r="A46" s="1372" t="s">
        <v>261</v>
      </c>
      <c r="B46" s="1372" t="s">
        <v>262</v>
      </c>
      <c r="C46" s="1372" t="s">
        <v>263</v>
      </c>
      <c r="D46" s="1372" t="s">
        <v>264</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474</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475</v>
      </c>
      <c r="AO46" s="509"/>
      <c r="AP46" s="509" t="str">
        <f>IF(T46="","",T46)</f>
        <v>Источник тепловой энергии  </v>
      </c>
      <c r="AQ46" s="509"/>
      <c r="AR46" s="509"/>
      <c r="AS46" s="1164">
        <v>21</v>
      </c>
    </row>
    <row s="1651" customFormat="1" customHeight="1" ht="0">
      <c r="A47" s="1352" t="s">
        <v>261</v>
      </c>
      <c r="B47" s="1352" t="s">
        <v>262</v>
      </c>
      <c r="C47" s="1352" t="s">
        <v>263</v>
      </c>
      <c r="D47" s="1352" t="s">
        <v>264</v>
      </c>
      <c r="E47" s="2268"/>
      <c r="F47" s="2268"/>
      <c r="G47" s="2268"/>
      <c r="H47" s="2268"/>
      <c r="I47" s="2265" t="str">
        <f>S46&amp;".1"</f>
        <v>....1</v>
      </c>
      <c r="J47" s="1352"/>
      <c r="K47" s="1352"/>
      <c r="L47" s="1355" t="s">
        <v>476</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261</v>
      </c>
      <c r="B48" s="1372" t="s">
        <v>262</v>
      </c>
      <c r="C48" s="1372" t="s">
        <v>263</v>
      </c>
      <c r="D48" s="1372" t="s">
        <v>264</v>
      </c>
      <c r="E48" s="2268"/>
      <c r="F48" s="2268"/>
      <c r="G48" s="2268"/>
      <c r="H48" s="2268"/>
      <c r="I48" s="2295"/>
      <c r="J48" s="2265" t="str">
        <f>S46&amp;".1"</f>
        <v>....1</v>
      </c>
      <c r="K48" s="1372"/>
      <c r="L48" s="1373" t="s">
        <v>479</v>
      </c>
      <c r="P48" s="2266"/>
      <c r="Q48" s="2266">
        <v>1</v>
      </c>
      <c r="R48" s="366"/>
      <c r="S48" s="1345" t="str">
        <f>$J48</f>
        <v>....1</v>
      </c>
      <c r="T48" s="295" t="s">
        <v>480</v>
      </c>
      <c r="U48" s="309"/>
      <c r="V48" s="2254"/>
      <c r="W48" s="2255"/>
      <c r="X48" s="2255"/>
      <c r="Y48" s="2255"/>
      <c r="Z48" s="2255"/>
      <c r="AA48" s="2255"/>
      <c r="AB48" s="2255"/>
      <c r="AC48" s="2256"/>
      <c r="AD48" s="2254"/>
      <c r="AE48" s="2255"/>
      <c r="AF48" s="2255"/>
      <c r="AG48" s="2255"/>
      <c r="AH48" s="2255"/>
      <c r="AI48" s="2255"/>
      <c r="AJ48" s="2255"/>
      <c r="AK48" s="2255"/>
      <c r="AL48" s="2256"/>
      <c r="AM48" s="1267" t="s">
        <v>481</v>
      </c>
      <c r="AO48" s="509"/>
      <c r="AP48" s="509" t="str">
        <f>IF(T48="","",T48)</f>
        <v>Группа потребителей</v>
      </c>
      <c r="AQ48" s="509"/>
      <c r="AR48" s="509"/>
      <c r="AS48" s="1164">
        <v>21</v>
      </c>
    </row>
    <row customHeight="1" ht="22.049999999999997">
      <c r="A49" s="1372" t="s">
        <v>261</v>
      </c>
      <c r="B49" s="1372" t="s">
        <v>262</v>
      </c>
      <c r="C49" s="1372" t="s">
        <v>263</v>
      </c>
      <c r="D49" s="1372" t="s">
        <v>264</v>
      </c>
      <c r="E49" s="2268"/>
      <c r="F49" s="2268"/>
      <c r="G49" s="2268"/>
      <c r="H49" s="2268"/>
      <c r="I49" s="2295"/>
      <c r="J49" s="2295"/>
      <c r="K49" s="2265" t="str">
        <f>J48&amp;".1"</f>
        <v>....1.1</v>
      </c>
      <c r="L49" s="1373" t="s">
        <v>482</v>
      </c>
      <c r="P49" s="2266"/>
      <c r="Q49" s="2266"/>
      <c r="R49" s="366">
        <v>1</v>
      </c>
      <c r="S49" s="1345" t="str">
        <f>$K49</f>
        <v>....1.1</v>
      </c>
      <c r="T49" s="1356"/>
      <c r="U49" s="309"/>
      <c r="V49" s="760"/>
      <c r="W49" s="334"/>
      <c r="X49" s="760"/>
      <c r="Y49" s="1266"/>
      <c r="Z49" s="2274"/>
      <c r="AA49" s="2116" t="s">
        <v>66</v>
      </c>
      <c r="AB49" s="2274"/>
      <c r="AC49" s="2116" t="s">
        <v>66</v>
      </c>
      <c r="AD49" s="760"/>
      <c r="AE49" s="334"/>
      <c r="AF49" s="760"/>
      <c r="AG49" s="1266"/>
      <c r="AH49" s="2274"/>
      <c r="AI49" s="2116" t="s">
        <v>66</v>
      </c>
      <c r="AJ49" s="2296"/>
      <c r="AK49" s="2116" t="s">
        <v>66</v>
      </c>
      <c r="AL49" s="1357"/>
      <c r="AM49" s="2262" t="s">
        <v>524</v>
      </c>
      <c r="AN49" s="520">
        <f>STRCHECKDATE(V50:AL50)</f>
      </c>
      <c r="AO49" s="509"/>
      <c r="AP49" s="509" t="str">
        <f>IF(T49="","",T49)</f>
        <v/>
      </c>
      <c r="AQ49" s="509"/>
      <c r="AR49" s="509"/>
      <c r="AS49" s="1164">
        <v>21</v>
      </c>
    </row>
    <row customHeight="1" ht="0">
      <c r="A50" s="1372" t="s">
        <v>261</v>
      </c>
      <c r="B50" s="1372" t="s">
        <v>262</v>
      </c>
      <c r="C50" s="1372" t="s">
        <v>263</v>
      </c>
      <c r="D50" s="1372" t="s">
        <v>264</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261</v>
      </c>
      <c r="B51" s="1372" t="s">
        <v>262</v>
      </c>
      <c r="C51" s="1372" t="s">
        <v>263</v>
      </c>
      <c r="D51" s="1372" t="s">
        <v>264</v>
      </c>
      <c r="E51" s="2268"/>
      <c r="F51" s="2268"/>
      <c r="G51" s="2268"/>
      <c r="H51" s="2268"/>
      <c r="I51" s="2295"/>
      <c r="J51" s="2265"/>
      <c r="K51" s="1372"/>
      <c r="L51" s="1373"/>
      <c r="P51" s="2266"/>
      <c r="Q51" s="2266"/>
      <c r="R51" s="365"/>
      <c r="S51" s="1287"/>
      <c r="T51" s="296" t="s">
        <v>484</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261</v>
      </c>
      <c r="B52" s="1372" t="s">
        <v>262</v>
      </c>
      <c r="C52" s="1372" t="s">
        <v>263</v>
      </c>
      <c r="D52" s="1372" t="s">
        <v>264</v>
      </c>
      <c r="E52" s="2268"/>
      <c r="F52" s="2268"/>
      <c r="G52" s="2268"/>
      <c r="H52" s="2268"/>
      <c r="I52" s="2265"/>
      <c r="J52" s="1372"/>
      <c r="K52" s="1372"/>
      <c r="L52" s="1373"/>
      <c r="P52" s="2266"/>
      <c r="Q52" s="1340"/>
      <c r="R52" s="365"/>
      <c r="S52" s="1287"/>
      <c r="T52" s="374" t="s">
        <v>485</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261</v>
      </c>
      <c r="B53" s="1372" t="s">
        <v>262</v>
      </c>
      <c r="C53" s="1372" t="s">
        <v>263</v>
      </c>
      <c r="D53" s="1372" t="s">
        <v>264</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261</v>
      </c>
      <c r="B54" s="1352" t="s">
        <v>262</v>
      </c>
      <c r="C54" s="1352" t="s">
        <v>263</v>
      </c>
      <c r="D54" s="1323"/>
      <c r="E54" s="2268"/>
      <c r="F54" s="2268"/>
      <c r="G54" s="2267"/>
      <c r="H54" s="1323"/>
      <c r="I54" s="1323"/>
      <c r="J54" s="1323"/>
      <c r="K54" s="1323"/>
      <c r="L54" s="1348"/>
      <c r="M54" s="1324"/>
      <c r="N54" s="1324"/>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261</v>
      </c>
      <c r="B55" s="1352" t="s">
        <v>262</v>
      </c>
      <c r="C55" s="1323"/>
      <c r="D55" s="1323"/>
      <c r="E55" s="2268"/>
      <c r="F55" s="2267"/>
      <c r="G55" s="1323"/>
      <c r="H55" s="1323"/>
      <c r="I55" s="1323"/>
      <c r="J55" s="1323"/>
      <c r="K55" s="1323"/>
      <c r="L55" s="1348"/>
      <c r="M55" s="1330"/>
      <c r="N55" s="1330"/>
      <c r="P55" s="1325"/>
      <c r="Q55" s="1326"/>
      <c r="R55" s="1325"/>
      <c r="S55" s="1331"/>
      <c r="T55" s="1334" t="s">
        <v>488</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261</v>
      </c>
      <c r="B56" s="1352"/>
      <c r="C56" s="1352"/>
      <c r="D56" s="1352"/>
      <c r="E56" s="2267"/>
      <c r="F56" s="1352"/>
      <c r="G56" s="1352"/>
      <c r="H56" s="1352"/>
      <c r="I56" s="1352"/>
      <c r="J56" s="1352"/>
      <c r="K56" s="1352"/>
      <c r="L56" s="1355"/>
      <c r="M56" s="1330"/>
      <c r="N56" s="1330"/>
      <c r="O56" s="527"/>
      <c r="P56" s="389"/>
      <c r="Q56" s="1353"/>
      <c r="R56" s="389"/>
      <c r="S56" s="1331"/>
      <c r="T56" s="1334" t="s">
        <v>489</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521</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82</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011FFD-6A32-2DE8-0FB2-0.DD6B459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204</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469</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470</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471</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472</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473</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474</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475</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476</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479</v>
      </c>
      <c r="N7" s="518"/>
      <c r="O7" s="336"/>
      <c r="Q7" s="2266"/>
      <c r="R7" s="2266">
        <v>1</v>
      </c>
      <c r="S7" s="527"/>
      <c r="T7" s="366"/>
      <c r="U7" s="1345">
        <f>$J7</f>
      </c>
      <c r="V7" s="295" t="s">
        <v>480</v>
      </c>
      <c r="W7" s="309"/>
      <c r="X7" s="2254"/>
      <c r="Y7" s="2255"/>
      <c r="Z7" s="2255"/>
      <c r="AA7" s="2255"/>
      <c r="AB7" s="2255"/>
      <c r="AC7" s="2244"/>
      <c r="AD7" s="2244"/>
      <c r="AE7" s="2244"/>
      <c r="AF7" s="2317"/>
      <c r="AG7" s="2254"/>
      <c r="AH7" s="2255"/>
      <c r="AI7" s="2255"/>
      <c r="AJ7" s="2255"/>
      <c r="AK7" s="2255"/>
      <c r="AL7" s="2255"/>
      <c r="AM7" s="2255"/>
      <c r="AN7" s="2255"/>
      <c r="AO7" s="2255"/>
      <c r="AP7" s="2256"/>
      <c r="AQ7" s="1267" t="s">
        <v>481</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482</v>
      </c>
      <c r="N8" s="518"/>
      <c r="O8" s="336"/>
      <c r="P8" s="336"/>
      <c r="Q8" s="2266"/>
      <c r="R8" s="2266"/>
      <c r="S8" s="2266">
        <v>1</v>
      </c>
      <c r="T8" s="366"/>
      <c r="U8" s="1345">
        <f>$K8</f>
      </c>
      <c r="V8" s="1356"/>
      <c r="W8" s="309"/>
      <c r="X8" s="760"/>
      <c r="Y8" s="760"/>
      <c r="Z8" s="760"/>
      <c r="AA8" s="760"/>
      <c r="AB8" s="1414"/>
      <c r="AC8" s="2274"/>
      <c r="AD8" s="2116" t="s">
        <v>66</v>
      </c>
      <c r="AE8" s="2274"/>
      <c r="AF8" s="2116" t="s">
        <v>66</v>
      </c>
      <c r="AG8" s="1416"/>
      <c r="AH8" s="760"/>
      <c r="AI8" s="760"/>
      <c r="AJ8" s="760"/>
      <c r="AK8" s="1266"/>
      <c r="AL8" s="2274"/>
      <c r="AM8" s="2116" t="s">
        <v>66</v>
      </c>
      <c r="AN8" s="2274"/>
      <c r="AO8" s="2116" t="s">
        <v>66</v>
      </c>
      <c r="AP8" s="334"/>
      <c r="AQ8" s="1316" t="s">
        <v>525</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526</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527</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484</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485</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487</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488</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489</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66</v>
      </c>
      <c r="AN19" s="2276"/>
      <c r="AO19" s="2277" t="s">
        <v>66</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490</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491</v>
      </c>
      <c r="Q26" s="1371"/>
      <c r="R26" s="1380"/>
      <c r="S26" s="1380"/>
      <c r="T26" s="1380"/>
      <c r="U26" s="738"/>
      <c r="V26" s="1169" t="s">
        <v>492</v>
      </c>
      <c r="AD26" s="195" t="s">
        <v>493</v>
      </c>
      <c r="AF26" s="195" t="s">
        <v>494</v>
      </c>
      <c r="AG26" s="1169" t="s">
        <v>492</v>
      </c>
      <c r="AM26" s="195" t="s">
        <v>495</v>
      </c>
      <c r="AO26" s="195" t="s">
        <v>494</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ООО "СамРЭК-Тепло Жигулевск"</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496</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497</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498</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499</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500</v>
      </c>
      <c r="AG40" s="335"/>
      <c r="AH40" s="335"/>
      <c r="AI40" s="335"/>
      <c r="AJ40" s="335"/>
      <c r="AK40" s="335"/>
      <c r="AL40" s="335"/>
      <c r="AM40" s="335"/>
      <c r="AN40" s="335"/>
      <c r="AO40" s="287" t="s">
        <v>500</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373</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374</v>
      </c>
      <c r="AW42" s="1164">
        <v>14</v>
      </c>
    </row>
    <row customHeight="1" ht="14.699999999999998">
      <c r="R43" s="385"/>
      <c r="S43" s="385"/>
      <c r="T43" s="385"/>
      <c r="U43" s="2282" t="s">
        <v>88</v>
      </c>
      <c r="V43" s="2218" t="s">
        <v>501</v>
      </c>
      <c r="W43" s="310"/>
      <c r="X43" s="2283" t="s">
        <v>502</v>
      </c>
      <c r="Y43" s="2300"/>
      <c r="Z43" s="2300"/>
      <c r="AA43" s="2300"/>
      <c r="AB43" s="2300"/>
      <c r="AC43" s="2284"/>
      <c r="AD43" s="2284"/>
      <c r="AE43" s="2285"/>
      <c r="AF43" s="2286" t="s">
        <v>503</v>
      </c>
      <c r="AG43" s="2283" t="s">
        <v>502</v>
      </c>
      <c r="AH43" s="2300"/>
      <c r="AI43" s="2300"/>
      <c r="AJ43" s="2300"/>
      <c r="AK43" s="2300"/>
      <c r="AL43" s="2284"/>
      <c r="AM43" s="2284"/>
      <c r="AN43" s="2285"/>
      <c r="AO43" s="2286" t="s">
        <v>504</v>
      </c>
      <c r="AP43" s="2289" t="s">
        <v>505</v>
      </c>
      <c r="AQ43" s="2136"/>
      <c r="AW43" s="1164">
        <v>14</v>
      </c>
    </row>
    <row customHeight="1" ht="35.699999999999996">
      <c r="R44" s="385"/>
      <c r="S44" s="385"/>
      <c r="T44" s="385"/>
      <c r="U44" s="2282"/>
      <c r="V44" s="2218"/>
      <c r="W44" s="1040"/>
      <c r="X44" s="2303" t="s">
        <v>528</v>
      </c>
      <c r="Y44" s="2321" t="s">
        <v>529</v>
      </c>
      <c r="Z44" s="2321"/>
      <c r="AA44" s="2321"/>
      <c r="AB44" s="2321"/>
      <c r="AC44" s="2303" t="s">
        <v>509</v>
      </c>
      <c r="AD44" s="2620"/>
      <c r="AE44" s="2323"/>
      <c r="AF44" s="2287"/>
      <c r="AG44" s="2303" t="s">
        <v>528</v>
      </c>
      <c r="AH44" s="2321" t="s">
        <v>529</v>
      </c>
      <c r="AI44" s="2321"/>
      <c r="AJ44" s="2321"/>
      <c r="AK44" s="2321"/>
      <c r="AL44" s="2303" t="s">
        <v>509</v>
      </c>
      <c r="AM44" s="2620"/>
      <c r="AN44" s="2323"/>
      <c r="AO44" s="2287"/>
      <c r="AP44" s="2290"/>
      <c r="AQ44" s="2136"/>
      <c r="AW44" s="1164">
        <v>34</v>
      </c>
    </row>
    <row customHeight="1" ht="14.699999999999998">
      <c r="R45" s="385"/>
      <c r="S45" s="385"/>
      <c r="T45" s="385"/>
      <c r="U45" s="2282"/>
      <c r="V45" s="2218"/>
      <c r="W45" s="1040"/>
      <c r="X45" s="2334"/>
      <c r="Y45" s="2326" t="s">
        <v>530</v>
      </c>
      <c r="Z45" s="2279" t="s">
        <v>531</v>
      </c>
      <c r="AA45" s="2329"/>
      <c r="AB45" s="2280"/>
      <c r="AC45" s="2304"/>
      <c r="AD45" s="2621"/>
      <c r="AE45" s="2325"/>
      <c r="AF45" s="2287"/>
      <c r="AG45" s="2334"/>
      <c r="AH45" s="2326" t="s">
        <v>530</v>
      </c>
      <c r="AI45" s="2279" t="s">
        <v>531</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532</v>
      </c>
      <c r="AA46" s="2279" t="s">
        <v>533</v>
      </c>
      <c r="AB46" s="2280"/>
      <c r="AC46" s="2326" t="s">
        <v>519</v>
      </c>
      <c r="AD46" s="2330" t="s">
        <v>520</v>
      </c>
      <c r="AE46" s="2331"/>
      <c r="AF46" s="2287"/>
      <c r="AG46" s="2334"/>
      <c r="AH46" s="2327"/>
      <c r="AI46" s="2326" t="s">
        <v>532</v>
      </c>
      <c r="AJ46" s="2279" t="s">
        <v>533</v>
      </c>
      <c r="AK46" s="2280"/>
      <c r="AL46" s="2326" t="s">
        <v>519</v>
      </c>
      <c r="AM46" s="2330" t="s">
        <v>520</v>
      </c>
      <c r="AN46" s="2331"/>
      <c r="AO46" s="2287"/>
      <c r="AP46" s="2290"/>
      <c r="AQ46" s="2136"/>
      <c r="AW46" s="1164">
        <v>26</v>
      </c>
    </row>
    <row customHeight="1" ht="65.25">
      <c r="A47" s="1268"/>
      <c r="B47" s="1268" t="s">
        <v>216</v>
      </c>
      <c r="C47" s="1268" t="s">
        <v>217</v>
      </c>
      <c r="D47" s="1268" t="s">
        <v>218</v>
      </c>
      <c r="E47" s="1319" t="s">
        <v>510</v>
      </c>
      <c r="F47" s="1319" t="s">
        <v>511</v>
      </c>
      <c r="G47" s="1319" t="s">
        <v>512</v>
      </c>
      <c r="H47" s="1319" t="s">
        <v>513</v>
      </c>
      <c r="I47" s="1319" t="s">
        <v>514</v>
      </c>
      <c r="J47" s="1319" t="s">
        <v>515</v>
      </c>
      <c r="K47" s="1319" t="s">
        <v>516</v>
      </c>
      <c r="L47" s="1319" t="s">
        <v>534</v>
      </c>
      <c r="M47" s="1319" t="s">
        <v>491</v>
      </c>
      <c r="R47" s="385"/>
      <c r="S47" s="385"/>
      <c r="T47" s="385"/>
      <c r="U47" s="2282"/>
      <c r="V47" s="2218"/>
      <c r="W47" s="311"/>
      <c r="X47" s="2304"/>
      <c r="Y47" s="2328"/>
      <c r="Z47" s="2328"/>
      <c r="AA47" s="1231" t="s">
        <v>535</v>
      </c>
      <c r="AB47" s="1231" t="s">
        <v>536</v>
      </c>
      <c r="AC47" s="2328"/>
      <c r="AD47" s="2332"/>
      <c r="AE47" s="2333"/>
      <c r="AF47" s="2288"/>
      <c r="AG47" s="2304"/>
      <c r="AH47" s="2328"/>
      <c r="AI47" s="2328"/>
      <c r="AJ47" s="1231" t="s">
        <v>535</v>
      </c>
      <c r="AK47" s="1231" t="s">
        <v>536</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109</v>
      </c>
      <c r="V48" s="1264" t="s">
        <v>110</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249</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204</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249</v>
      </c>
      <c r="B50" s="1276" t="s">
        <v>250</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470</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471</v>
      </c>
      <c r="AS50" s="509"/>
      <c r="AT50" s="509" t="str">
        <f>IF(V50="","",V50)</f>
        <v>Территория действия тарифа</v>
      </c>
      <c r="AU50" s="509"/>
      <c r="AV50" s="509"/>
      <c r="AW50" s="1164">
        <v>21</v>
      </c>
    </row>
    <row customHeight="1" ht="24">
      <c r="A51" s="1276" t="s">
        <v>249</v>
      </c>
      <c r="B51" s="1276" t="s">
        <v>250</v>
      </c>
      <c r="C51" s="1276" t="s">
        <v>251</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472</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473</v>
      </c>
      <c r="AS51" s="509"/>
      <c r="AT51" s="509" t="str">
        <f>IF(V51="","",V51)</f>
        <v>Наименование системы теплоснабжения </v>
      </c>
      <c r="AU51" s="509"/>
      <c r="AV51" s="509"/>
      <c r="AW51" s="1164">
        <v>23</v>
      </c>
    </row>
    <row customHeight="1" ht="22.049999999999997">
      <c r="A52" s="1276" t="s">
        <v>249</v>
      </c>
      <c r="B52" s="1276" t="s">
        <v>250</v>
      </c>
      <c r="C52" s="1276" t="s">
        <v>251</v>
      </c>
      <c r="D52" s="1276" t="s">
        <v>252</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474</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475</v>
      </c>
      <c r="AS52" s="509"/>
      <c r="AT52" s="509" t="str">
        <f>IF(V52="","",V52)</f>
        <v>Источник тепловой энергии  </v>
      </c>
      <c r="AU52" s="509"/>
      <c r="AV52" s="509"/>
      <c r="AW52" s="1164">
        <v>21</v>
      </c>
    </row>
    <row s="1651" customFormat="1" customHeight="1" ht="0">
      <c r="A53" s="1384" t="s">
        <v>249</v>
      </c>
      <c r="B53" s="1384" t="s">
        <v>250</v>
      </c>
      <c r="C53" s="1384" t="s">
        <v>251</v>
      </c>
      <c r="D53" s="1384" t="s">
        <v>252</v>
      </c>
      <c r="E53" s="2299"/>
      <c r="F53" s="2299"/>
      <c r="G53" s="2299"/>
      <c r="H53" s="2320"/>
      <c r="I53" s="2136" t="str">
        <f>U52&amp;".1"</f>
        <v>....1</v>
      </c>
      <c r="J53" s="1384"/>
      <c r="K53" s="1384"/>
      <c r="L53" s="1384"/>
      <c r="M53" s="1390" t="s">
        <v>476</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249</v>
      </c>
      <c r="B54" s="1276" t="s">
        <v>250</v>
      </c>
      <c r="C54" s="1276" t="s">
        <v>251</v>
      </c>
      <c r="D54" s="1276" t="s">
        <v>252</v>
      </c>
      <c r="E54" s="2299"/>
      <c r="F54" s="2299"/>
      <c r="G54" s="2299"/>
      <c r="H54" s="2320"/>
      <c r="I54" s="2110"/>
      <c r="J54" s="2136" t="str">
        <f>I53&amp;".1"</f>
        <v>....1.1</v>
      </c>
      <c r="K54" s="1276"/>
      <c r="L54" s="1276"/>
      <c r="M54" s="1319" t="s">
        <v>479</v>
      </c>
      <c r="Q54" s="2266"/>
      <c r="R54" s="2266">
        <v>1</v>
      </c>
      <c r="S54" s="527"/>
      <c r="T54" s="366"/>
      <c r="U54" s="1345" t="str">
        <f>$J54</f>
        <v>....1.1</v>
      </c>
      <c r="V54" s="295" t="s">
        <v>480</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481</v>
      </c>
      <c r="AS54" s="509"/>
      <c r="AT54" s="509" t="str">
        <f>IF(V54="","",V54)</f>
        <v>Группа потребителей</v>
      </c>
      <c r="AU54" s="509"/>
      <c r="AV54" s="509"/>
      <c r="AW54" s="1164">
        <v>21</v>
      </c>
    </row>
    <row customHeight="1" ht="22.049999999999997">
      <c r="A55" s="1276" t="s">
        <v>249</v>
      </c>
      <c r="B55" s="1276" t="s">
        <v>250</v>
      </c>
      <c r="C55" s="1276" t="s">
        <v>251</v>
      </c>
      <c r="D55" s="1276" t="s">
        <v>252</v>
      </c>
      <c r="E55" s="2299"/>
      <c r="F55" s="2299"/>
      <c r="G55" s="2299"/>
      <c r="H55" s="2320"/>
      <c r="I55" s="2110"/>
      <c r="J55" s="2110"/>
      <c r="K55" s="2136" t="str">
        <f>J54&amp;".1"</f>
        <v>....1.1.1</v>
      </c>
      <c r="L55" s="148"/>
      <c r="M55" s="1319" t="s">
        <v>482</v>
      </c>
      <c r="Q55" s="2266"/>
      <c r="R55" s="2266"/>
      <c r="S55" s="527">
        <v>1</v>
      </c>
      <c r="T55" s="366"/>
      <c r="U55" s="1345" t="str">
        <f>$K55</f>
        <v>....1.1.1</v>
      </c>
      <c r="V55" s="1356"/>
      <c r="W55" s="309"/>
      <c r="X55" s="760"/>
      <c r="Y55" s="760"/>
      <c r="Z55" s="760"/>
      <c r="AA55" s="760"/>
      <c r="AB55" s="1414"/>
      <c r="AC55" s="2274"/>
      <c r="AD55" s="2116" t="s">
        <v>66</v>
      </c>
      <c r="AE55" s="2274"/>
      <c r="AF55" s="2116" t="s">
        <v>66</v>
      </c>
      <c r="AG55" s="1416"/>
      <c r="AH55" s="760"/>
      <c r="AI55" s="760"/>
      <c r="AJ55" s="760"/>
      <c r="AK55" s="1266"/>
      <c r="AL55" s="2274"/>
      <c r="AM55" s="2116" t="s">
        <v>66</v>
      </c>
      <c r="AN55" s="2274"/>
      <c r="AO55" s="2116" t="s">
        <v>66</v>
      </c>
      <c r="AP55" s="1357"/>
      <c r="AQ55" s="1316" t="s">
        <v>525</v>
      </c>
      <c r="AR55" s="520">
        <f>STRCHECKDATE(X57:AP57)</f>
      </c>
      <c r="AS55" s="509"/>
      <c r="AT55" s="509" t="str">
        <f>IF(V55="","",V55)</f>
        <v/>
      </c>
      <c r="AU55" s="509"/>
      <c r="AV55" s="509"/>
      <c r="AW55" s="1164">
        <v>21</v>
      </c>
    </row>
    <row customHeight="1" ht="11.549999999999999">
      <c r="A56" s="1276" t="s">
        <v>249</v>
      </c>
      <c r="B56" s="1276" t="s">
        <v>250</v>
      </c>
      <c r="C56" s="1276" t="s">
        <v>251</v>
      </c>
      <c r="D56" s="1276" t="s">
        <v>252</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526</v>
      </c>
      <c r="AR56" s="520">
        <f>STRCHECKDATE(X58:AP58)</f>
      </c>
      <c r="AS56" s="509"/>
      <c r="AT56" s="509" t="str">
        <f>IF(V56="","",V56)</f>
        <v/>
      </c>
      <c r="AU56" s="509"/>
      <c r="AV56" s="509"/>
      <c r="AW56" s="1164">
        <v>11</v>
      </c>
    </row>
    <row customHeight="1" ht="0">
      <c r="A57" s="1276" t="s">
        <v>249</v>
      </c>
      <c r="B57" s="1276" t="s">
        <v>250</v>
      </c>
      <c r="C57" s="1276" t="s">
        <v>251</v>
      </c>
      <c r="D57" s="1276" t="s">
        <v>252</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249</v>
      </c>
      <c r="B58" s="1276" t="s">
        <v>250</v>
      </c>
      <c r="C58" s="1276" t="s">
        <v>251</v>
      </c>
      <c r="D58" s="1276" t="s">
        <v>252</v>
      </c>
      <c r="E58" s="2299"/>
      <c r="F58" s="2299"/>
      <c r="G58" s="2299"/>
      <c r="H58" s="2320"/>
      <c r="I58" s="2110"/>
      <c r="J58" s="2110"/>
      <c r="K58" s="2136"/>
      <c r="L58" s="1276"/>
      <c r="M58" s="1319"/>
      <c r="Q58" s="2266"/>
      <c r="R58" s="2266"/>
      <c r="S58" s="1340"/>
      <c r="T58" s="365"/>
      <c r="U58" s="1287"/>
      <c r="V58" s="297" t="s">
        <v>527</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249</v>
      </c>
      <c r="B59" s="1276" t="s">
        <v>250</v>
      </c>
      <c r="C59" s="1276" t="s">
        <v>251</v>
      </c>
      <c r="D59" s="1276" t="s">
        <v>252</v>
      </c>
      <c r="E59" s="2299"/>
      <c r="F59" s="2299"/>
      <c r="G59" s="2299"/>
      <c r="H59" s="2320"/>
      <c r="I59" s="2110"/>
      <c r="J59" s="2136"/>
      <c r="K59" s="1276"/>
      <c r="L59" s="1276"/>
      <c r="M59" s="1319"/>
      <c r="Q59" s="2266"/>
      <c r="R59" s="2266"/>
      <c r="S59" s="1340"/>
      <c r="T59" s="365"/>
      <c r="U59" s="1287"/>
      <c r="V59" s="296" t="s">
        <v>484</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249</v>
      </c>
      <c r="B60" s="1276" t="s">
        <v>250</v>
      </c>
      <c r="C60" s="1276" t="s">
        <v>251</v>
      </c>
      <c r="D60" s="1276" t="s">
        <v>252</v>
      </c>
      <c r="E60" s="2299"/>
      <c r="F60" s="2299"/>
      <c r="G60" s="2299"/>
      <c r="H60" s="2320"/>
      <c r="I60" s="2136"/>
      <c r="J60" s="1276"/>
      <c r="K60" s="1276"/>
      <c r="L60" s="1276"/>
      <c r="M60" s="1319"/>
      <c r="Q60" s="2266"/>
      <c r="R60" s="1340"/>
      <c r="S60" s="1340"/>
      <c r="T60" s="365"/>
      <c r="U60" s="1287"/>
      <c r="V60" s="374" t="s">
        <v>485</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249</v>
      </c>
      <c r="B61" s="1276" t="s">
        <v>250</v>
      </c>
      <c r="C61" s="1276" t="s">
        <v>251</v>
      </c>
      <c r="D61" s="1276" t="s">
        <v>252</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249</v>
      </c>
      <c r="B62" s="1384" t="s">
        <v>250</v>
      </c>
      <c r="C62" s="1384" t="s">
        <v>251</v>
      </c>
      <c r="D62" s="1383"/>
      <c r="E62" s="2299"/>
      <c r="F62" s="2299"/>
      <c r="G62" s="2298"/>
      <c r="H62" s="1383"/>
      <c r="I62" s="1383"/>
      <c r="J62" s="1383"/>
      <c r="K62" s="1383"/>
      <c r="L62" s="1383"/>
      <c r="M62" s="1386"/>
      <c r="N62" s="1387"/>
      <c r="O62" s="1387"/>
      <c r="P62" s="360"/>
      <c r="Q62" s="1325"/>
      <c r="R62" s="1326"/>
      <c r="S62" s="1325"/>
      <c r="T62" s="1325"/>
      <c r="U62" s="1331"/>
      <c r="V62" s="1334" t="s">
        <v>487</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249</v>
      </c>
      <c r="B63" s="1384" t="s">
        <v>250</v>
      </c>
      <c r="C63" s="1383"/>
      <c r="D63" s="1383"/>
      <c r="E63" s="2299"/>
      <c r="F63" s="2298"/>
      <c r="G63" s="1383"/>
      <c r="H63" s="1383"/>
      <c r="I63" s="1383"/>
      <c r="J63" s="1383"/>
      <c r="K63" s="1383"/>
      <c r="L63" s="1383"/>
      <c r="M63" s="1386"/>
      <c r="N63" s="1388"/>
      <c r="O63" s="1388"/>
      <c r="P63" s="360"/>
      <c r="Q63" s="1325"/>
      <c r="R63" s="1326"/>
      <c r="S63" s="1325"/>
      <c r="T63" s="1325"/>
      <c r="U63" s="1331"/>
      <c r="V63" s="1334" t="s">
        <v>488</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249</v>
      </c>
      <c r="B64" s="1384"/>
      <c r="C64" s="1384"/>
      <c r="D64" s="1384"/>
      <c r="E64" s="2298"/>
      <c r="F64" s="1384"/>
      <c r="G64" s="1384"/>
      <c r="H64" s="1384"/>
      <c r="I64" s="1384"/>
      <c r="J64" s="1384"/>
      <c r="K64" s="1384"/>
      <c r="L64" s="1384"/>
      <c r="M64" s="1390"/>
      <c r="N64" s="1388"/>
      <c r="O64" s="1388"/>
      <c r="P64" s="360"/>
      <c r="Q64" s="389"/>
      <c r="R64" s="1353"/>
      <c r="S64" s="389"/>
      <c r="T64" s="389"/>
      <c r="U64" s="1331"/>
      <c r="V64" s="1334" t="s">
        <v>489</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521</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82</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2BAE3B9-225E-4609-331C-0.5AB942CD}" mc:Ignorable="x14ac xr xr2 xr3">
  <sheetPr>
    <tabColor rgb="FFCCCCFF"/>
  </sheetPr>
  <dimension ref="A1:Q79"/>
  <sheetViews>
    <sheetView topLeftCell="A1" showGridLines="0" zoomScale="90" workbookViewId="0">
      <selection activeCell="I33" sqref="I33"/>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PP110.OPEN.INFO.QUARTER.HEAT.EIAS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2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c r="A36" s="888"/>
      <c r="D36" s="88"/>
      <c r="E36" s="400" t="s">
        <v>52</v>
      </c>
      <c r="F36" s="1219" t="s">
        <v>53</v>
      </c>
      <c r="G36" s="86"/>
      <c r="Q36" s="83">
        <v>0</v>
      </c>
    </row>
    <row customHeight="1" ht="21">
      <c r="A37" s="888"/>
      <c r="D37" s="88"/>
      <c r="E37" s="400" t="s">
        <v>54</v>
      </c>
      <c r="F37" s="1219" t="s">
        <v>55</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56</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57</v>
      </c>
      <c r="F43" s="719" t="s">
        <v>19</v>
      </c>
      <c r="G43" s="82"/>
      <c r="I43" s="420"/>
      <c r="J43" s="885"/>
      <c r="Q43" s="418">
        <v>0</v>
      </c>
    </row>
    <row s="1644" customFormat="1" customHeight="1" ht="27" hidden="1">
      <c r="A44" s="793"/>
      <c r="B44" s="422"/>
      <c r="C44" s="417"/>
      <c r="D44" s="419"/>
      <c r="E44" s="1174" t="s">
        <v>58</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59</v>
      </c>
      <c r="F46" s="719" t="s">
        <v>19</v>
      </c>
      <c r="G46" s="82"/>
      <c r="H46" s="418"/>
      <c r="I46" s="420"/>
      <c r="J46" s="885"/>
      <c r="Q46" s="439">
        <v>0</v>
      </c>
    </row>
    <row s="1644" customFormat="1" customHeight="1" ht="24.75" hidden="1">
      <c r="A47" s="793"/>
      <c r="B47" s="422"/>
      <c r="C47" s="417"/>
      <c r="D47" s="419"/>
      <c r="E47" s="1174" t="s">
        <v>60</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61</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62</v>
      </c>
      <c r="F53" s="1057" t="s">
        <v>19</v>
      </c>
      <c r="G53" s="541"/>
      <c r="I53" s="543"/>
      <c r="J53" s="887"/>
      <c r="P53" s="544"/>
      <c r="Q53" s="542">
        <v>0</v>
      </c>
    </row>
    <row s="1644" customFormat="1" customHeight="1" ht="27" hidden="1">
      <c r="A54" s="795"/>
      <c r="B54" s="422"/>
      <c r="C54" s="539"/>
      <c r="D54" s="540"/>
      <c r="E54" s="400" t="s">
        <v>63</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64</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65</v>
      </c>
      <c r="F58" s="1057" t="s">
        <v>66</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8"/>
      <c r="G59" s="541"/>
      <c r="I59" s="543"/>
      <c r="J59" s="887"/>
      <c r="P59" s="544"/>
      <c r="Q59" s="542">
        <v>0</v>
      </c>
    </row>
    <row s="1644" customFormat="1" customHeight="1" ht="15" hidden="1">
      <c r="A60" s="795"/>
      <c r="B60" s="422"/>
      <c r="C60" s="539"/>
      <c r="D60" s="540"/>
      <c r="E60" s="1174" t="s">
        <v>67</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68</v>
      </c>
      <c r="F62" s="1680" t="s">
        <v>66</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69</v>
      </c>
      <c r="F64" s="2585" t="s">
        <v>70</v>
      </c>
      <c r="G64" s="86"/>
      <c r="Q64" s="83">
        <v>20</v>
      </c>
    </row>
    <row customHeight="1" ht="21">
      <c r="A65" s="796"/>
      <c r="B65" s="108"/>
      <c r="D65" s="91"/>
      <c r="E65" s="400" t="s">
        <v>71</v>
      </c>
      <c r="F65" s="225" t="s">
        <v>72</v>
      </c>
      <c r="G65" s="86"/>
      <c r="Q65" s="83">
        <v>20</v>
      </c>
    </row>
    <row customHeight="1" ht="36.75">
      <c r="D66" s="84"/>
      <c r="E66" s="402" t="s">
        <v>73</v>
      </c>
      <c r="F66" s="1063"/>
      <c r="G66" s="82"/>
      <c r="Q66" s="83">
        <v>35</v>
      </c>
    </row>
    <row customHeight="1" ht="21">
      <c r="A67" s="796"/>
      <c r="D67" s="419"/>
      <c r="E67" s="400" t="s">
        <v>74</v>
      </c>
      <c r="F67" s="2585" t="s">
        <v>75</v>
      </c>
      <c r="G67" s="86"/>
      <c r="Q67" s="83">
        <v>20</v>
      </c>
    </row>
    <row customHeight="1" ht="21">
      <c r="A68" s="796"/>
      <c r="B68" s="108"/>
      <c r="D68" s="91"/>
      <c r="E68" s="400" t="s">
        <v>76</v>
      </c>
      <c r="F68" s="280" t="s">
        <v>77</v>
      </c>
      <c r="G68" s="86"/>
      <c r="Q68" s="83">
        <v>20</v>
      </c>
    </row>
    <row customHeight="1" ht="21">
      <c r="A69" s="796"/>
      <c r="B69" s="108"/>
      <c r="D69" s="91"/>
      <c r="E69" s="400" t="s">
        <v>78</v>
      </c>
      <c r="F69" s="280" t="s">
        <v>79</v>
      </c>
      <c r="G69" s="86"/>
      <c r="Q69" s="83">
        <v>20</v>
      </c>
    </row>
    <row customHeight="1" ht="21">
      <c r="D70" s="419"/>
      <c r="E70" s="400" t="s">
        <v>80</v>
      </c>
      <c r="F70" s="280" t="s">
        <v>81</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82</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6F71301-3C5B-FD98-FDE1-0.48921A9C}"/>
    <hyperlink ref="H17" location="Титульный!H9" display="Как заполнить?" tooltip="Помощь по работе с полями отчётной формы" xr:uid="{4ED13F8A-0FF1-A753-D63D-0.D0E7021C}"/>
    <hyperlink ref="H39" location="Титульный!H9" display="Как заполнить?" tooltip="Помощь по работе с полями отчётной формы" xr:uid="{85D9819D-D842-34D5-73F9-0.90D75BF2}"/>
    <hyperlink ref="H62" location="Титульный!H9" display="Как заполнить?" tooltip="Помощь по работе с полями отчётной формы" xr:uid="{2561B0D2-0B07-8C58-1DEF-0.75C6360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B17ED-FD0E-AF4E-9A97-0.C928B771}"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204</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469</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470</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471</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472</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473</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474</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475</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476</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66</v>
      </c>
      <c r="Z8" s="2274"/>
      <c r="AA8" s="2116" t="s">
        <v>66</v>
      </c>
      <c r="AB8" s="2116" t="s">
        <v>19</v>
      </c>
      <c r="AC8" s="2335"/>
      <c r="AD8" s="2214">
        <v>1</v>
      </c>
      <c r="AE8" s="2336"/>
      <c r="AF8" s="2116" t="s">
        <v>19</v>
      </c>
      <c r="AG8" s="2335"/>
      <c r="AH8" s="2214">
        <v>1</v>
      </c>
      <c r="AI8" s="2336"/>
      <c r="AJ8" s="2116" t="s">
        <v>19</v>
      </c>
      <c r="AK8" s="320"/>
      <c r="AL8" s="1346">
        <v>1</v>
      </c>
      <c r="AM8" s="1407"/>
      <c r="AN8" s="760"/>
      <c r="AO8" s="1266"/>
      <c r="AP8" s="1743"/>
      <c r="AQ8" s="1468" t="s">
        <v>66</v>
      </c>
      <c r="AR8" s="1743"/>
      <c r="AS8" s="1468" t="s">
        <v>66</v>
      </c>
      <c r="AT8" s="1357"/>
      <c r="AU8" s="2262" t="s">
        <v>537</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538</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539</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540</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541</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487</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488</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489</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66</v>
      </c>
      <c r="AR19" s="1745"/>
      <c r="AS19" s="1469" t="s">
        <v>66</v>
      </c>
      <c r="BA19" s="1164">
        <v>0</v>
      </c>
    </row>
    <row customHeight="1" ht="14.25" hidden="1">
      <c r="AV20" s="505"/>
      <c r="AW20" s="505"/>
      <c r="AX20" s="505"/>
      <c r="AY20" s="505"/>
      <c r="AZ20" s="505"/>
      <c r="BA20" s="1164">
        <v>0</v>
      </c>
    </row>
    <row customHeight="1" ht="14.25" hidden="1">
      <c r="O21" s="1376" t="s">
        <v>490</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491</v>
      </c>
      <c r="P23" s="1517"/>
      <c r="Q23" s="1519"/>
      <c r="R23" s="1519"/>
      <c r="Y23" s="1516" t="s">
        <v>493</v>
      </c>
      <c r="AA23" s="1516" t="s">
        <v>494</v>
      </c>
      <c r="AB23" s="1516" t="s">
        <v>542</v>
      </c>
      <c r="AE23" s="1516" t="s">
        <v>543</v>
      </c>
      <c r="AF23" s="1516" t="s">
        <v>542</v>
      </c>
      <c r="AI23" s="1516" t="s">
        <v>544</v>
      </c>
      <c r="AJ23" s="1516" t="s">
        <v>542</v>
      </c>
      <c r="AM23" s="1516" t="s">
        <v>545</v>
      </c>
      <c r="AQ23" s="1516" t="s">
        <v>493</v>
      </c>
      <c r="AS23" s="1516" t="s">
        <v>494</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ООО "СамРЭК-Тепло Жигулевск"</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496</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497</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496</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497</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500</v>
      </c>
      <c r="AB37" s="335"/>
      <c r="AC37" s="335"/>
      <c r="AD37" s="335"/>
      <c r="AE37" s="335"/>
      <c r="AF37" s="335"/>
      <c r="AG37" s="335"/>
      <c r="AH37" s="335"/>
      <c r="AI37" s="335"/>
      <c r="AJ37" s="335"/>
      <c r="AK37" s="335"/>
      <c r="AL37" s="335"/>
      <c r="AM37" s="335"/>
      <c r="AN37" s="335"/>
      <c r="AO37" s="335"/>
      <c r="AP37" s="335"/>
      <c r="AQ37" s="335"/>
      <c r="AR37" s="335"/>
      <c r="AS37" s="287" t="s">
        <v>500</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373</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374</v>
      </c>
      <c r="BA39" s="1164">
        <v>14</v>
      </c>
    </row>
    <row customHeight="1" ht="14.699999999999998">
      <c r="Q40" s="300"/>
      <c r="R40" s="385"/>
      <c r="S40" s="2282" t="s">
        <v>88</v>
      </c>
      <c r="T40" s="2218" t="s">
        <v>546</v>
      </c>
      <c r="U40" s="310"/>
      <c r="V40" s="2284"/>
      <c r="W40" s="2284"/>
      <c r="X40" s="2284"/>
      <c r="Y40" s="2284"/>
      <c r="Z40" s="2285"/>
      <c r="AA40" s="2345" t="s">
        <v>503</v>
      </c>
      <c r="AB40" s="2337" t="s">
        <v>547</v>
      </c>
      <c r="AC40" s="2300"/>
      <c r="AD40" s="2300"/>
      <c r="AE40" s="2338"/>
      <c r="AF40" s="2300" t="s">
        <v>548</v>
      </c>
      <c r="AG40" s="2300"/>
      <c r="AH40" s="2300"/>
      <c r="AI40" s="2338"/>
      <c r="AJ40" s="2337" t="s">
        <v>549</v>
      </c>
      <c r="AK40" s="2300"/>
      <c r="AL40" s="2300"/>
      <c r="AM40" s="2338"/>
      <c r="AN40" s="2337" t="s">
        <v>502</v>
      </c>
      <c r="AO40" s="2300"/>
      <c r="AP40" s="2284"/>
      <c r="AQ40" s="2284"/>
      <c r="AR40" s="2285"/>
      <c r="AS40" s="2286" t="s">
        <v>503</v>
      </c>
      <c r="AT40" s="2289" t="s">
        <v>505</v>
      </c>
      <c r="AU40" s="2136"/>
      <c r="BA40" s="1164">
        <v>14</v>
      </c>
    </row>
    <row customHeight="1" ht="35.699999999999996">
      <c r="Q41" s="300"/>
      <c r="R41" s="385"/>
      <c r="S41" s="2282"/>
      <c r="T41" s="2218"/>
      <c r="U41" s="1040"/>
      <c r="V41" s="2136" t="s">
        <v>550</v>
      </c>
      <c r="W41" s="2136"/>
      <c r="X41" s="2303" t="s">
        <v>509</v>
      </c>
      <c r="Y41" s="2322"/>
      <c r="Z41" s="2323"/>
      <c r="AA41" s="2346"/>
      <c r="AB41" s="2339"/>
      <c r="AC41" s="2340"/>
      <c r="AD41" s="2340"/>
      <c r="AE41" s="2341"/>
      <c r="AF41" s="2340"/>
      <c r="AG41" s="2340"/>
      <c r="AH41" s="2340"/>
      <c r="AI41" s="2341"/>
      <c r="AJ41" s="2339"/>
      <c r="AK41" s="2340"/>
      <c r="AL41" s="2340"/>
      <c r="AM41" s="2340"/>
      <c r="AN41" s="2136" t="s">
        <v>550</v>
      </c>
      <c r="AO41" s="2136"/>
      <c r="AP41" s="2322" t="s">
        <v>509</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216</v>
      </c>
      <c r="C43" s="1379" t="s">
        <v>217</v>
      </c>
      <c r="D43" s="1379" t="s">
        <v>218</v>
      </c>
      <c r="E43" s="1373" t="s">
        <v>510</v>
      </c>
      <c r="F43" s="1373" t="s">
        <v>511</v>
      </c>
      <c r="G43" s="1373" t="s">
        <v>512</v>
      </c>
      <c r="H43" s="1373" t="s">
        <v>513</v>
      </c>
      <c r="I43" s="1373" t="s">
        <v>514</v>
      </c>
      <c r="J43" s="1373" t="s">
        <v>515</v>
      </c>
      <c r="K43" s="1373" t="s">
        <v>516</v>
      </c>
      <c r="L43" s="1373" t="s">
        <v>491</v>
      </c>
      <c r="Q43" s="300"/>
      <c r="R43" s="385"/>
      <c r="S43" s="2282"/>
      <c r="T43" s="2218"/>
      <c r="U43" s="311"/>
      <c r="V43" s="1339" t="s">
        <v>551</v>
      </c>
      <c r="W43" s="1339" t="s">
        <v>552</v>
      </c>
      <c r="X43" s="1347" t="s">
        <v>519</v>
      </c>
      <c r="Y43" s="2279" t="s">
        <v>520</v>
      </c>
      <c r="Z43" s="2280"/>
      <c r="AA43" s="2347"/>
      <c r="AB43" s="2342"/>
      <c r="AC43" s="2343"/>
      <c r="AD43" s="2343"/>
      <c r="AE43" s="2344"/>
      <c r="AF43" s="2343"/>
      <c r="AG43" s="2343"/>
      <c r="AH43" s="2343"/>
      <c r="AI43" s="2344"/>
      <c r="AJ43" s="2342"/>
      <c r="AK43" s="2343"/>
      <c r="AL43" s="2343"/>
      <c r="AM43" s="2344"/>
      <c r="AN43" s="1869" t="s">
        <v>551</v>
      </c>
      <c r="AO43" s="1869" t="s">
        <v>552</v>
      </c>
      <c r="AP43" s="1347" t="s">
        <v>519</v>
      </c>
      <c r="AQ43" s="2279" t="s">
        <v>520</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109</v>
      </c>
      <c r="T44" s="1264" t="s">
        <v>110</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273</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204</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273</v>
      </c>
      <c r="B46" s="1372" t="s">
        <v>274</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470</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471</v>
      </c>
      <c r="AW46" s="509"/>
      <c r="AX46" s="509" t="str">
        <f>IF(T46="","",T46)</f>
        <v>Территория действия тарифа</v>
      </c>
      <c r="AY46" s="509"/>
      <c r="AZ46" s="509"/>
      <c r="BA46" s="1164">
        <v>21</v>
      </c>
    </row>
    <row customHeight="1" ht="24">
      <c r="A47" s="1372" t="s">
        <v>273</v>
      </c>
      <c r="B47" s="1372" t="s">
        <v>274</v>
      </c>
      <c r="C47" s="1372" t="s">
        <v>275</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472</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473</v>
      </c>
      <c r="AW47" s="509"/>
      <c r="AX47" s="509" t="str">
        <f>IF(T47="","",T47)</f>
        <v>Наименование системы теплоснабжения </v>
      </c>
      <c r="AY47" s="509"/>
      <c r="AZ47" s="509"/>
      <c r="BA47" s="1164">
        <v>23</v>
      </c>
    </row>
    <row customHeight="1" ht="21">
      <c r="A48" s="1372" t="s">
        <v>273</v>
      </c>
      <c r="B48" s="1372" t="s">
        <v>274</v>
      </c>
      <c r="C48" s="1372" t="s">
        <v>275</v>
      </c>
      <c r="D48" s="1372" t="s">
        <v>276</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474</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475</v>
      </c>
      <c r="AW48" s="509"/>
      <c r="AX48" s="509" t="str">
        <f>IF(T48="","",T48)</f>
        <v>Источник тепловой энергии  </v>
      </c>
      <c r="AY48" s="509"/>
      <c r="AZ48" s="509"/>
      <c r="BA48" s="1164">
        <v>20</v>
      </c>
    </row>
    <row s="1651" customFormat="1" customHeight="1" ht="1.05">
      <c r="A49" s="1352" t="s">
        <v>273</v>
      </c>
      <c r="B49" s="1352" t="s">
        <v>274</v>
      </c>
      <c r="C49" s="1352" t="s">
        <v>275</v>
      </c>
      <c r="D49" s="1352" t="s">
        <v>276</v>
      </c>
      <c r="E49" s="2268"/>
      <c r="F49" s="2268"/>
      <c r="G49" s="2268"/>
      <c r="H49" s="2268"/>
      <c r="I49" s="2265" t="str">
        <f>S48&amp;".1"</f>
        <v>....1</v>
      </c>
      <c r="J49" s="1352"/>
      <c r="K49" s="1352"/>
      <c r="L49" s="1355" t="s">
        <v>476</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273</v>
      </c>
      <c r="B50" s="1352" t="s">
        <v>274</v>
      </c>
      <c r="C50" s="1352" t="s">
        <v>275</v>
      </c>
      <c r="D50" s="1352" t="s">
        <v>276</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273</v>
      </c>
      <c r="B51" s="1372" t="s">
        <v>274</v>
      </c>
      <c r="C51" s="1372" t="s">
        <v>275</v>
      </c>
      <c r="D51" s="1372" t="s">
        <v>276</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66</v>
      </c>
      <c r="Z51" s="1743"/>
      <c r="AA51" s="1468" t="s">
        <v>66</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66</v>
      </c>
      <c r="AR51" s="1743"/>
      <c r="AS51" s="1468" t="s">
        <v>66</v>
      </c>
      <c r="AT51" s="1357"/>
      <c r="AU51" s="2262" t="s">
        <v>553</v>
      </c>
      <c r="AV51" s="520">
        <f>STRCHECKDATE(V54:AT54)</f>
      </c>
      <c r="AW51" s="509"/>
      <c r="AX51" s="509" t="str">
        <f>IF(T51="","",T51)</f>
        <v/>
      </c>
      <c r="AY51" s="509"/>
      <c r="AZ51" s="509"/>
      <c r="BA51" s="1164">
        <v>21</v>
      </c>
    </row>
    <row customHeight="1" ht="11.549999999999999">
      <c r="A52" s="1372" t="s">
        <v>273</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538</v>
      </c>
      <c r="AN52" s="1402"/>
      <c r="AO52" s="1505"/>
      <c r="AP52" s="1402"/>
      <c r="AQ52" s="1402"/>
      <c r="AR52" s="1402"/>
      <c r="AS52" s="1402"/>
      <c r="AT52" s="1399"/>
      <c r="AU52" s="2263"/>
      <c r="AW52" s="509"/>
      <c r="AX52" s="509"/>
      <c r="AY52" s="509"/>
      <c r="AZ52" s="509"/>
      <c r="BA52" s="1164">
        <v>11</v>
      </c>
    </row>
    <row customHeight="1" ht="11.549999999999999">
      <c r="A53" s="1372" t="s">
        <v>273</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539</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273</v>
      </c>
      <c r="B54" s="1372" t="s">
        <v>274</v>
      </c>
      <c r="C54" s="1372" t="s">
        <v>275</v>
      </c>
      <c r="D54" s="1372" t="s">
        <v>276</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540</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273</v>
      </c>
      <c r="B55" s="1372" t="s">
        <v>274</v>
      </c>
      <c r="C55" s="1372" t="s">
        <v>275</v>
      </c>
      <c r="D55" s="1372" t="s">
        <v>276</v>
      </c>
      <c r="E55" s="2268"/>
      <c r="F55" s="2268"/>
      <c r="G55" s="2268"/>
      <c r="H55" s="2268"/>
      <c r="I55" s="2295"/>
      <c r="J55" s="2265"/>
      <c r="K55" s="1372"/>
      <c r="L55" s="1373"/>
      <c r="P55" s="2266"/>
      <c r="Q55" s="2266"/>
      <c r="R55" s="365"/>
      <c r="S55" s="1287"/>
      <c r="T55" s="296" t="s">
        <v>541</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273</v>
      </c>
      <c r="B56" s="1352" t="s">
        <v>274</v>
      </c>
      <c r="C56" s="1352" t="s">
        <v>275</v>
      </c>
      <c r="D56" s="1352" t="s">
        <v>276</v>
      </c>
      <c r="E56" s="2268"/>
      <c r="F56" s="2268"/>
      <c r="G56" s="2268"/>
      <c r="H56" s="2268"/>
      <c r="I56" s="2265"/>
      <c r="J56" s="1352"/>
      <c r="K56" s="1352"/>
      <c r="L56" s="1355"/>
      <c r="M56" s="519"/>
      <c r="N56" s="519"/>
      <c r="O56" s="519"/>
      <c r="P56" s="2266"/>
      <c r="Q56" s="1340"/>
      <c r="R56" s="365"/>
      <c r="S56" s="1395"/>
      <c r="T56" s="1396" t="s">
        <v>485</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273</v>
      </c>
      <c r="B57" s="1352" t="s">
        <v>274</v>
      </c>
      <c r="C57" s="1352" t="s">
        <v>275</v>
      </c>
      <c r="D57" s="1352" t="s">
        <v>276</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273</v>
      </c>
      <c r="B58" s="1352" t="s">
        <v>274</v>
      </c>
      <c r="C58" s="1352" t="s">
        <v>275</v>
      </c>
      <c r="D58" s="1323"/>
      <c r="E58" s="2268"/>
      <c r="F58" s="2268"/>
      <c r="G58" s="2267"/>
      <c r="H58" s="1323"/>
      <c r="I58" s="1323"/>
      <c r="J58" s="1323"/>
      <c r="K58" s="1323"/>
      <c r="L58" s="1348"/>
      <c r="M58" s="1324"/>
      <c r="N58" s="1324"/>
      <c r="P58" s="1325"/>
      <c r="Q58" s="1326"/>
      <c r="R58" s="1325"/>
      <c r="S58" s="1331"/>
      <c r="T58" s="1334" t="s">
        <v>487</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273</v>
      </c>
      <c r="B59" s="1352" t="s">
        <v>274</v>
      </c>
      <c r="C59" s="1323"/>
      <c r="D59" s="1323"/>
      <c r="E59" s="2268"/>
      <c r="F59" s="2267"/>
      <c r="G59" s="1323"/>
      <c r="H59" s="1323"/>
      <c r="I59" s="1323"/>
      <c r="J59" s="1323"/>
      <c r="K59" s="1323"/>
      <c r="L59" s="1348"/>
      <c r="M59" s="1330"/>
      <c r="N59" s="1330"/>
      <c r="P59" s="1325"/>
      <c r="Q59" s="1326"/>
      <c r="R59" s="1325"/>
      <c r="S59" s="1331"/>
      <c r="T59" s="1334" t="s">
        <v>488</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273</v>
      </c>
      <c r="B60" s="1352"/>
      <c r="C60" s="1352"/>
      <c r="D60" s="1352"/>
      <c r="E60" s="2268"/>
      <c r="F60" s="1352"/>
      <c r="G60" s="1352"/>
      <c r="H60" s="1352"/>
      <c r="I60" s="1352"/>
      <c r="J60" s="1352"/>
      <c r="K60" s="1352"/>
      <c r="L60" s="1355"/>
      <c r="M60" s="1330"/>
      <c r="N60" s="1330"/>
      <c r="O60" s="527"/>
      <c r="P60" s="389"/>
      <c r="Q60" s="1353"/>
      <c r="R60" s="389"/>
      <c r="S60" s="1331"/>
      <c r="T60" s="1334" t="s">
        <v>489</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273</v>
      </c>
      <c r="B61" s="1352"/>
      <c r="C61" s="1352"/>
      <c r="D61" s="1352"/>
      <c r="E61" s="2267"/>
      <c r="F61" s="1352"/>
      <c r="G61" s="1352"/>
      <c r="H61" s="1352"/>
      <c r="I61" s="1352"/>
      <c r="J61" s="1352"/>
      <c r="K61" s="1352"/>
      <c r="L61" s="1355"/>
      <c r="M61" s="1330"/>
      <c r="N61" s="1330"/>
      <c r="O61" s="527"/>
      <c r="P61" s="389"/>
      <c r="Q61" s="1353"/>
      <c r="R61" s="389"/>
      <c r="S61" s="1331"/>
      <c r="T61" s="1334" t="s">
        <v>489</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521</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82</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8BA99-BA91-1DC8-FA28-0.314B97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204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470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554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556</v>
      </c>
      <c r="U5" s="309"/>
      <c r="V5" s="2359"/>
      <c r="W5" s="2360"/>
      <c r="X5" s="2360"/>
      <c r="Y5" s="2360"/>
      <c r="Z5" s="2360"/>
      <c r="AA5" s="2360"/>
      <c r="AB5" s="2361"/>
      <c r="AC5" s="2362"/>
      <c r="AD5" s="2363"/>
      <c r="AE5" s="2363"/>
      <c r="AF5" s="2363"/>
      <c r="AG5" s="2363"/>
      <c r="AH5" s="2363"/>
      <c r="AI5" s="2363"/>
      <c r="AJ5" s="2364"/>
      <c r="AK5" s="1267" t="s">
        <v>557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479</v>
      </c>
      <c r="P6" s="2266"/>
      <c r="Q6" s="2266">
        <v>1</v>
      </c>
      <c r="R6" s="366"/>
      <c r="S6" s="1434">
        <f>$J6</f>
      </c>
      <c r="T6" s="295" t="s">
        <v>480</v>
      </c>
      <c r="U6" s="309"/>
      <c r="V6" s="2254"/>
      <c r="W6" s="2255"/>
      <c r="X6" s="2255"/>
      <c r="Y6" s="2255"/>
      <c r="Z6" s="2255"/>
      <c r="AA6" s="2255"/>
      <c r="AB6" s="2256"/>
      <c r="AC6" s="2254"/>
      <c r="AD6" s="2255"/>
      <c r="AE6" s="2255"/>
      <c r="AF6" s="2255"/>
      <c r="AG6" s="2255"/>
      <c r="AH6" s="2255"/>
      <c r="AI6" s="2255"/>
      <c r="AJ6" s="2256"/>
      <c r="AK6" s="1316" t="s">
        <v>558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376"/>
      <c r="X9" s="376"/>
      <c r="Y9" s="376"/>
      <c r="Z9" s="376"/>
      <c r="AA9" s="376"/>
      <c r="AB9" s="376"/>
      <c r="AC9" s="376"/>
      <c r="AD9" s="376"/>
      <c r="AE9" s="376"/>
      <c r="AF9" s="376"/>
      <c r="AG9" s="376"/>
      <c r="AH9" s="376"/>
      <c r="AI9" s="376"/>
      <c r="AJ9" s="376"/>
      <c r="AK9" s="1267" t="s">
        <v>560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491</v>
      </c>
      <c r="P20" s="1371"/>
      <c r="Q20" s="1451"/>
      <c r="R20" s="1451"/>
      <c r="S20" s="738"/>
      <c r="T20" s="1169" t="s">
        <v>492</v>
      </c>
      <c r="Z20" s="195" t="s">
        <v>493</v>
      </c>
      <c r="AB20" s="195" t="s">
        <v>494</v>
      </c>
      <c r="AC20" s="1169" t="s">
        <v>492</v>
      </c>
      <c r="AG20" s="195" t="s">
        <v>495</v>
      </c>
      <c r="AI20" s="195" t="s">
        <v>494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500</v>
      </c>
      <c r="AC34" s="335"/>
      <c r="AD34" s="335"/>
      <c r="AE34" s="335"/>
      <c r="AF34" s="335"/>
      <c r="AG34" s="335"/>
      <c r="AH34" s="335"/>
      <c r="AI34" s="287" t="s">
        <v>500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t="s">
        <v>374</v>
      </c>
      <c r="AQ36" s="1164">
        <v>14</v>
      </c>
    </row>
    <row customHeight="1" ht="14.699999999999998">
      <c r="Q37" s="385"/>
      <c r="R37" s="385"/>
      <c r="S37" s="2282" t="s">
        <v>88</v>
      </c>
      <c r="T37" s="2218" t="s">
        <v>501</v>
      </c>
      <c r="U37" s="310"/>
      <c r="V37" s="2283" t="s">
        <v>502</v>
      </c>
      <c r="W37" s="2284"/>
      <c r="X37" s="2284"/>
      <c r="Y37" s="2284"/>
      <c r="Z37" s="2284"/>
      <c r="AA37" s="2285"/>
      <c r="AB37" s="2286" t="s">
        <v>503</v>
      </c>
      <c r="AC37" s="2283" t="s">
        <v>502</v>
      </c>
      <c r="AD37" s="2284"/>
      <c r="AE37" s="2284"/>
      <c r="AF37" s="2284"/>
      <c r="AG37" s="2284"/>
      <c r="AH37" s="2285"/>
      <c r="AI37" s="2286" t="s">
        <v>504</v>
      </c>
      <c r="AJ37" s="2289" t="s">
        <v>505</v>
      </c>
      <c r="AK37" s="2136"/>
      <c r="AQ37" s="1164">
        <v>14</v>
      </c>
    </row>
    <row customHeight="1" ht="35.699999999999996">
      <c r="Q38" s="385"/>
      <c r="R38" s="385"/>
      <c r="S38" s="2282"/>
      <c r="T38" s="2218"/>
      <c r="U38" s="1040"/>
      <c r="V38" s="1361" t="s">
        <v>562</v>
      </c>
      <c r="W38" s="2271" t="s">
        <v>508</v>
      </c>
      <c r="X38" s="2272"/>
      <c r="Y38" s="2271" t="s">
        <v>509</v>
      </c>
      <c r="Z38" s="2278"/>
      <c r="AA38" s="2272"/>
      <c r="AB38" s="2287"/>
      <c r="AC38" s="1361" t="s">
        <v>562</v>
      </c>
      <c r="AD38" s="2271" t="s">
        <v>508</v>
      </c>
      <c r="AE38" s="2272"/>
      <c r="AF38" s="2271" t="s">
        <v>509</v>
      </c>
      <c r="AG38" s="2278"/>
      <c r="AH38" s="2272"/>
      <c r="AI38" s="2287"/>
      <c r="AJ38" s="2290"/>
      <c r="AK38" s="2136"/>
      <c r="AQ38" s="1164">
        <v>34</v>
      </c>
    </row>
    <row customHeight="1" ht="35.699999999999996">
      <c r="A39" s="1379"/>
      <c r="B39" s="1379" t="s">
        <v>216</v>
      </c>
      <c r="C39" s="1379" t="s">
        <v>217</v>
      </c>
      <c r="D39" s="1379" t="s">
        <v>218</v>
      </c>
      <c r="E39" s="1373" t="s">
        <v>510</v>
      </c>
      <c r="F39" s="1373" t="s">
        <v>511</v>
      </c>
      <c r="G39" s="1373" t="s">
        <v>512</v>
      </c>
      <c r="H39" s="1373"/>
      <c r="I39" s="1373" t="s">
        <v>563</v>
      </c>
      <c r="J39" s="1373" t="s">
        <v>515</v>
      </c>
      <c r="K39" s="1373" t="s">
        <v>564</v>
      </c>
      <c r="L39" s="1373" t="s">
        <v>491</v>
      </c>
      <c r="Q39" s="385"/>
      <c r="R39" s="385"/>
      <c r="S39" s="2282"/>
      <c r="T39" s="2218"/>
      <c r="U39" s="311"/>
      <c r="V39" s="1361" t="s">
        <v>565</v>
      </c>
      <c r="W39" s="1231" t="s">
        <v>566</v>
      </c>
      <c r="X39" s="1231" t="s">
        <v>567</v>
      </c>
      <c r="Y39" s="1366" t="s">
        <v>519</v>
      </c>
      <c r="Z39" s="2279" t="s">
        <v>520</v>
      </c>
      <c r="AA39" s="2280"/>
      <c r="AB39" s="2288"/>
      <c r="AC39" s="1361" t="s">
        <v>565</v>
      </c>
      <c r="AD39" s="1231" t="s">
        <v>566</v>
      </c>
      <c r="AE39" s="1231" t="s">
        <v>567</v>
      </c>
      <c r="AF39" s="1366" t="s">
        <v>519</v>
      </c>
      <c r="AG39" s="2279" t="s">
        <v>520</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299</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204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299</v>
      </c>
      <c r="B42" s="1372" t="s">
        <v>300</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470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471</v>
      </c>
      <c r="AM42" s="509"/>
      <c r="AN42" s="509" t="str">
        <f>IF(T42="","",T42)</f>
        <v>Территория действия тарифа</v>
      </c>
      <c r="AO42" s="509"/>
      <c r="AP42" s="509"/>
      <c r="AQ42" s="1164">
        <v>23</v>
      </c>
    </row>
    <row customHeight="1" ht="24">
      <c r="A43" s="1372" t="s">
        <v>299</v>
      </c>
      <c r="B43" s="1372" t="s">
        <v>300</v>
      </c>
      <c r="C43" s="1372" t="s">
        <v>301</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554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555</v>
      </c>
      <c r="AM43" s="509"/>
      <c r="AN43" s="509" t="str">
        <f>IF(T43="","",T43)</f>
        <v>Наименование централизованной системы холодного водоснабжения</v>
      </c>
      <c r="AO43" s="509"/>
      <c r="AP43" s="509"/>
      <c r="AQ43" s="1164">
        <v>23</v>
      </c>
    </row>
    <row customHeight="1" ht="24">
      <c r="A44" s="1372" t="s">
        <v>299</v>
      </c>
      <c r="B44" s="1372" t="s">
        <v>300</v>
      </c>
      <c r="C44" s="1372" t="s">
        <v>301</v>
      </c>
      <c r="D44" s="1372" t="s">
        <v>568</v>
      </c>
      <c r="E44" s="2268"/>
      <c r="F44" s="2268"/>
      <c r="G44" s="2268"/>
      <c r="H44" s="2268"/>
      <c r="I44" s="2265" t="str">
        <f>S43&amp;".1"</f>
        <v>...1</v>
      </c>
      <c r="J44" s="1372"/>
      <c r="K44" s="1372"/>
      <c r="L44" s="1373"/>
      <c r="P44" s="2266">
        <v>1</v>
      </c>
      <c r="Q44" s="1363"/>
      <c r="R44" s="365"/>
      <c r="S44" s="1367" t="str">
        <f>$I44</f>
        <v>...1</v>
      </c>
      <c r="T44" s="294" t="s">
        <v>556</v>
      </c>
      <c r="U44" s="309"/>
      <c r="V44" s="2359"/>
      <c r="W44" s="2360"/>
      <c r="X44" s="2360"/>
      <c r="Y44" s="2360"/>
      <c r="Z44" s="2360"/>
      <c r="AA44" s="2360"/>
      <c r="AB44" s="2361"/>
      <c r="AC44" s="2362"/>
      <c r="AD44" s="2363"/>
      <c r="AE44" s="2363"/>
      <c r="AF44" s="2363"/>
      <c r="AG44" s="2363"/>
      <c r="AH44" s="2363"/>
      <c r="AI44" s="2363"/>
      <c r="AJ44" s="2364"/>
      <c r="AK44" s="1267" t="s">
        <v>557</v>
      </c>
      <c r="AM44" s="509"/>
      <c r="AN44" s="509" t="str">
        <f>IF(T44="","",T44)</f>
        <v>Наименование признака дифференциации</v>
      </c>
      <c r="AO44" s="509"/>
      <c r="AP44" s="509"/>
      <c r="AQ44" s="1164">
        <v>23</v>
      </c>
    </row>
    <row customHeight="1" ht="24">
      <c r="A45" s="1372" t="s">
        <v>299</v>
      </c>
      <c r="B45" s="1372" t="s">
        <v>300</v>
      </c>
      <c r="C45" s="1372" t="s">
        <v>301</v>
      </c>
      <c r="D45" s="1372" t="s">
        <v>568</v>
      </c>
      <c r="E45" s="2268"/>
      <c r="F45" s="2268"/>
      <c r="G45" s="2268"/>
      <c r="H45" s="2268"/>
      <c r="I45" s="2295"/>
      <c r="J45" s="2265" t="str">
        <f>I44&amp;".1"</f>
        <v>...1.1</v>
      </c>
      <c r="K45" s="1372"/>
      <c r="L45" s="1373" t="s">
        <v>479</v>
      </c>
      <c r="P45" s="2266"/>
      <c r="Q45" s="2266">
        <v>1</v>
      </c>
      <c r="R45" s="366"/>
      <c r="S45" s="1367" t="str">
        <f>$J45</f>
        <v>...1.1</v>
      </c>
      <c r="T45" s="295" t="s">
        <v>480</v>
      </c>
      <c r="U45" s="309"/>
      <c r="V45" s="2254"/>
      <c r="W45" s="2255"/>
      <c r="X45" s="2255"/>
      <c r="Y45" s="2255"/>
      <c r="Z45" s="2255"/>
      <c r="AA45" s="2255"/>
      <c r="AB45" s="2256"/>
      <c r="AC45" s="2254"/>
      <c r="AD45" s="2255"/>
      <c r="AE45" s="2255"/>
      <c r="AF45" s="2255"/>
      <c r="AG45" s="2255"/>
      <c r="AH45" s="2255"/>
      <c r="AI45" s="2255"/>
      <c r="AJ45" s="2256"/>
      <c r="AK45" s="1316" t="s">
        <v>558</v>
      </c>
      <c r="AM45" s="509"/>
      <c r="AN45" s="509" t="str">
        <f>IF(T45="","",T45)</f>
        <v>Группа потребителей</v>
      </c>
      <c r="AO45" s="509"/>
      <c r="AP45" s="509"/>
      <c r="AQ45" s="1164">
        <v>23</v>
      </c>
    </row>
    <row customHeight="1" ht="24">
      <c r="A46" s="1372" t="s">
        <v>299</v>
      </c>
      <c r="B46" s="1372" t="s">
        <v>300</v>
      </c>
      <c r="C46" s="1372" t="s">
        <v>301</v>
      </c>
      <c r="D46" s="1372" t="s">
        <v>568</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299</v>
      </c>
      <c r="B47" s="1372" t="s">
        <v>300</v>
      </c>
      <c r="C47" s="1372" t="s">
        <v>301</v>
      </c>
      <c r="D47" s="1372" t="s">
        <v>568</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299</v>
      </c>
      <c r="B48" s="1372" t="s">
        <v>300</v>
      </c>
      <c r="C48" s="1372" t="s">
        <v>301</v>
      </c>
      <c r="D48" s="1372" t="s">
        <v>568</v>
      </c>
      <c r="E48" s="2268"/>
      <c r="F48" s="2268"/>
      <c r="G48" s="2268"/>
      <c r="H48" s="2268"/>
      <c r="I48" s="2295"/>
      <c r="J48" s="2265"/>
      <c r="K48" s="1372"/>
      <c r="L48" s="1373"/>
      <c r="P48" s="2266"/>
      <c r="Q48" s="2266"/>
      <c r="R48" s="365"/>
      <c r="S48" s="1287"/>
      <c r="T48" s="296" t="s">
        <v>559</v>
      </c>
      <c r="U48" s="376"/>
      <c r="V48" s="376"/>
      <c r="W48" s="376"/>
      <c r="X48" s="376"/>
      <c r="Y48" s="376"/>
      <c r="Z48" s="376"/>
      <c r="AA48" s="376"/>
      <c r="AB48" s="376"/>
      <c r="AC48" s="376"/>
      <c r="AD48" s="376"/>
      <c r="AE48" s="376"/>
      <c r="AF48" s="376"/>
      <c r="AG48" s="376"/>
      <c r="AH48" s="376"/>
      <c r="AI48" s="376"/>
      <c r="AJ48" s="376"/>
      <c r="AK48" s="1267" t="s">
        <v>560</v>
      </c>
      <c r="AM48" s="509"/>
      <c r="AN48" s="509" t="str">
        <f>IF(T48="","",T48)</f>
        <v>Добавить значение признака дифференциации</v>
      </c>
      <c r="AO48" s="509"/>
      <c r="AP48" s="509"/>
      <c r="AQ48" s="1164">
        <v>20</v>
      </c>
    </row>
    <row customHeight="1" ht="22.049999999999997">
      <c r="A49" s="1372" t="s">
        <v>299</v>
      </c>
      <c r="B49" s="1372" t="s">
        <v>300</v>
      </c>
      <c r="C49" s="1372" t="s">
        <v>301</v>
      </c>
      <c r="D49" s="1372" t="s">
        <v>568</v>
      </c>
      <c r="E49" s="2268"/>
      <c r="F49" s="2268"/>
      <c r="G49" s="2268"/>
      <c r="H49" s="2268"/>
      <c r="I49" s="2265"/>
      <c r="J49" s="1372"/>
      <c r="K49" s="1372"/>
      <c r="L49" s="1373"/>
      <c r="P49" s="2266"/>
      <c r="Q49" s="1363"/>
      <c r="R49" s="365"/>
      <c r="S49" s="1287"/>
      <c r="T49" s="374" t="s">
        <v>485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299</v>
      </c>
      <c r="B50" s="1372" t="s">
        <v>300</v>
      </c>
      <c r="C50" s="1372" t="s">
        <v>301</v>
      </c>
      <c r="D50" s="1372" t="s">
        <v>568</v>
      </c>
      <c r="E50" s="2268"/>
      <c r="F50" s="2268"/>
      <c r="G50" s="2268"/>
      <c r="H50" s="2267"/>
      <c r="I50" s="1372"/>
      <c r="J50" s="1372"/>
      <c r="K50" s="1372"/>
      <c r="L50" s="1373"/>
      <c r="M50" s="1374"/>
      <c r="N50" s="1374"/>
      <c r="O50" s="546"/>
      <c r="P50" s="369"/>
      <c r="Q50" s="384"/>
      <c r="R50" s="364"/>
      <c r="S50" s="1287"/>
      <c r="T50" s="381" t="s">
        <v>561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299</v>
      </c>
      <c r="B51" s="1352" t="s">
        <v>300</v>
      </c>
      <c r="C51" s="1323"/>
      <c r="D51" s="1323"/>
      <c r="E51" s="2268"/>
      <c r="F51" s="2267"/>
      <c r="G51" s="1323"/>
      <c r="H51" s="1323"/>
      <c r="I51" s="1323"/>
      <c r="J51" s="1323"/>
      <c r="K51" s="1323"/>
      <c r="L51" s="1435"/>
      <c r="M51" s="1330"/>
      <c r="N51" s="1330"/>
      <c r="P51" s="1325"/>
      <c r="Q51" s="1326"/>
      <c r="R51" s="1325"/>
      <c r="S51" s="1331"/>
      <c r="T51" s="1334" t="s">
        <v>488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299</v>
      </c>
      <c r="B52" s="1352"/>
      <c r="C52" s="1352"/>
      <c r="D52" s="1352"/>
      <c r="E52" s="2267"/>
      <c r="F52" s="1352"/>
      <c r="G52" s="1352"/>
      <c r="H52" s="1352"/>
      <c r="I52" s="1352"/>
      <c r="J52" s="1352"/>
      <c r="K52" s="1352"/>
      <c r="L52" s="1355"/>
      <c r="M52" s="1330"/>
      <c r="N52" s="1330"/>
      <c r="O52" s="527"/>
      <c r="P52" s="389"/>
      <c r="Q52" s="1353"/>
      <c r="R52" s="389"/>
      <c r="S52" s="1331"/>
      <c r="T52" s="1334" t="s">
        <v>489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521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20B86-C059-443F-38C3-0.60BE1F3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204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556</v>
      </c>
      <c r="U5" s="309"/>
      <c r="V5" s="2359"/>
      <c r="W5" s="2360"/>
      <c r="X5" s="2360"/>
      <c r="Y5" s="2360"/>
      <c r="Z5" s="2360"/>
      <c r="AA5" s="2360"/>
      <c r="AB5" s="2361"/>
      <c r="AC5" s="2362"/>
      <c r="AD5" s="2363"/>
      <c r="AE5" s="2363"/>
      <c r="AF5" s="2363"/>
      <c r="AG5" s="2363"/>
      <c r="AH5" s="2363"/>
      <c r="AI5" s="2363"/>
      <c r="AJ5" s="2364"/>
      <c r="AK5" s="1267" t="s">
        <v>557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479</v>
      </c>
      <c r="P6" s="2266"/>
      <c r="Q6" s="2266">
        <v>1</v>
      </c>
      <c r="R6" s="366"/>
      <c r="S6" s="1466">
        <f>$J6</f>
      </c>
      <c r="T6" s="295" t="s">
        <v>480</v>
      </c>
      <c r="U6" s="309"/>
      <c r="V6" s="2254"/>
      <c r="W6" s="2255"/>
      <c r="X6" s="2255"/>
      <c r="Y6" s="2255"/>
      <c r="Z6" s="2255"/>
      <c r="AA6" s="2255"/>
      <c r="AB6" s="2256"/>
      <c r="AC6" s="2254"/>
      <c r="AD6" s="2255"/>
      <c r="AE6" s="2255"/>
      <c r="AF6" s="2255"/>
      <c r="AG6" s="2255"/>
      <c r="AH6" s="2255"/>
      <c r="AI6" s="2255"/>
      <c r="AJ6" s="2256"/>
      <c r="AK6" s="1316" t="s">
        <v>558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376"/>
      <c r="X9" s="376"/>
      <c r="Y9" s="376"/>
      <c r="Z9" s="376"/>
      <c r="AA9" s="376"/>
      <c r="AB9" s="376"/>
      <c r="AC9" s="376"/>
      <c r="AD9" s="376"/>
      <c r="AE9" s="376"/>
      <c r="AF9" s="376"/>
      <c r="AG9" s="376"/>
      <c r="AH9" s="376"/>
      <c r="AI9" s="376"/>
      <c r="AJ9" s="376"/>
      <c r="AK9" s="1267" t="s">
        <v>560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491</v>
      </c>
      <c r="P20" s="1371"/>
      <c r="Q20" s="1451"/>
      <c r="R20" s="1451"/>
      <c r="S20" s="738"/>
      <c r="T20" s="1169" t="s">
        <v>492</v>
      </c>
      <c r="Z20" s="195" t="s">
        <v>493</v>
      </c>
      <c r="AB20" s="195" t="s">
        <v>494</v>
      </c>
      <c r="AC20" s="1169" t="s">
        <v>492</v>
      </c>
      <c r="AG20" s="195" t="s">
        <v>495</v>
      </c>
      <c r="AI20" s="195" t="s">
        <v>494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500</v>
      </c>
      <c r="AC34" s="335"/>
      <c r="AD34" s="335"/>
      <c r="AE34" s="335"/>
      <c r="AF34" s="335"/>
      <c r="AG34" s="335"/>
      <c r="AH34" s="335"/>
      <c r="AI34" s="287" t="s">
        <v>500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t="s">
        <v>374</v>
      </c>
      <c r="AQ36" s="1164">
        <v>14</v>
      </c>
    </row>
    <row customHeight="1" ht="14.699999999999998">
      <c r="Q37" s="385"/>
      <c r="R37" s="385"/>
      <c r="S37" s="2282" t="s">
        <v>88</v>
      </c>
      <c r="T37" s="2218" t="s">
        <v>501</v>
      </c>
      <c r="U37" s="310"/>
      <c r="V37" s="2283" t="s">
        <v>502</v>
      </c>
      <c r="W37" s="2284"/>
      <c r="X37" s="2284"/>
      <c r="Y37" s="2284"/>
      <c r="Z37" s="2284"/>
      <c r="AA37" s="2285"/>
      <c r="AB37" s="2286" t="s">
        <v>503</v>
      </c>
      <c r="AC37" s="2283" t="s">
        <v>502</v>
      </c>
      <c r="AD37" s="2284"/>
      <c r="AE37" s="2284"/>
      <c r="AF37" s="2284"/>
      <c r="AG37" s="2284"/>
      <c r="AH37" s="2285"/>
      <c r="AI37" s="2286" t="s">
        <v>504</v>
      </c>
      <c r="AJ37" s="2289" t="s">
        <v>505</v>
      </c>
      <c r="AK37" s="2136"/>
      <c r="AQ37" s="1164">
        <v>14</v>
      </c>
    </row>
    <row customHeight="1" ht="35.699999999999996">
      <c r="Q38" s="385"/>
      <c r="R38" s="385"/>
      <c r="S38" s="2282"/>
      <c r="T38" s="2218"/>
      <c r="U38" s="1040"/>
      <c r="V38" s="1461" t="s">
        <v>562</v>
      </c>
      <c r="W38" s="2271" t="s">
        <v>508</v>
      </c>
      <c r="X38" s="2272"/>
      <c r="Y38" s="2271" t="s">
        <v>509</v>
      </c>
      <c r="Z38" s="2278"/>
      <c r="AA38" s="2272"/>
      <c r="AB38" s="2287"/>
      <c r="AC38" s="1461" t="s">
        <v>562</v>
      </c>
      <c r="AD38" s="2271" t="s">
        <v>508</v>
      </c>
      <c r="AE38" s="2272"/>
      <c r="AF38" s="2271" t="s">
        <v>509</v>
      </c>
      <c r="AG38" s="2278"/>
      <c r="AH38" s="2272"/>
      <c r="AI38" s="2287"/>
      <c r="AJ38" s="2290"/>
      <c r="AK38" s="2136"/>
      <c r="AQ38" s="1164">
        <v>34</v>
      </c>
    </row>
    <row customHeight="1" ht="35.699999999999996">
      <c r="A39" s="1379"/>
      <c r="B39" s="1379" t="s">
        <v>216</v>
      </c>
      <c r="C39" s="1379" t="s">
        <v>217</v>
      </c>
      <c r="D39" s="1379" t="s">
        <v>218</v>
      </c>
      <c r="E39" s="1373" t="s">
        <v>510</v>
      </c>
      <c r="F39" s="1373" t="s">
        <v>511</v>
      </c>
      <c r="G39" s="1373" t="s">
        <v>512</v>
      </c>
      <c r="H39" s="1373"/>
      <c r="I39" s="1373" t="s">
        <v>563</v>
      </c>
      <c r="J39" s="1373" t="s">
        <v>515</v>
      </c>
      <c r="K39" s="1373" t="s">
        <v>564</v>
      </c>
      <c r="L39" s="1373" t="s">
        <v>491</v>
      </c>
      <c r="Q39" s="385"/>
      <c r="R39" s="385"/>
      <c r="S39" s="2282"/>
      <c r="T39" s="2218"/>
      <c r="U39" s="311"/>
      <c r="V39" s="1461" t="s">
        <v>565</v>
      </c>
      <c r="W39" s="1231" t="s">
        <v>566</v>
      </c>
      <c r="X39" s="1231" t="s">
        <v>567</v>
      </c>
      <c r="Y39" s="1464" t="s">
        <v>519</v>
      </c>
      <c r="Z39" s="2279" t="s">
        <v>520</v>
      </c>
      <c r="AA39" s="2280"/>
      <c r="AB39" s="2288"/>
      <c r="AC39" s="1461" t="s">
        <v>565</v>
      </c>
      <c r="AD39" s="1231" t="s">
        <v>566</v>
      </c>
      <c r="AE39" s="1231" t="s">
        <v>567</v>
      </c>
      <c r="AF39" s="1464" t="s">
        <v>519</v>
      </c>
      <c r="AG39" s="2279" t="s">
        <v>520</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304</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204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304</v>
      </c>
      <c r="B42" s="1372" t="s">
        <v>305</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471</v>
      </c>
      <c r="AM42" s="509"/>
      <c r="AN42" s="509" t="str">
        <f>IF(T42="","",T42)</f>
        <v>Территория действия тарифа</v>
      </c>
      <c r="AO42" s="509"/>
      <c r="AP42" s="509"/>
      <c r="AQ42" s="1164">
        <v>23</v>
      </c>
    </row>
    <row customHeight="1" ht="24">
      <c r="A43" s="1372" t="s">
        <v>304</v>
      </c>
      <c r="B43" s="1372" t="s">
        <v>305</v>
      </c>
      <c r="C43" s="1372" t="s">
        <v>306</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555</v>
      </c>
      <c r="AM43" s="509"/>
      <c r="AN43" s="509" t="str">
        <f>IF(T43="","",T43)</f>
        <v>Наименование централизованной системы холодного водоснабжения</v>
      </c>
      <c r="AO43" s="509"/>
      <c r="AP43" s="509"/>
      <c r="AQ43" s="1164">
        <v>23</v>
      </c>
    </row>
    <row customHeight="1" ht="24">
      <c r="A44" s="1372" t="s">
        <v>304</v>
      </c>
      <c r="B44" s="1372" t="s">
        <v>305</v>
      </c>
      <c r="C44" s="1372" t="s">
        <v>306</v>
      </c>
      <c r="D44" s="1372" t="s">
        <v>569</v>
      </c>
      <c r="E44" s="2268"/>
      <c r="F44" s="2268"/>
      <c r="G44" s="2268"/>
      <c r="H44" s="2268"/>
      <c r="I44" s="2265" t="str">
        <f>S43&amp;".1"</f>
        <v>...1</v>
      </c>
      <c r="J44" s="1372"/>
      <c r="K44" s="1372"/>
      <c r="L44" s="1373"/>
      <c r="P44" s="2266">
        <v>1</v>
      </c>
      <c r="Q44" s="1459"/>
      <c r="R44" s="365"/>
      <c r="S44" s="1466" t="str">
        <f>$I44</f>
        <v>...1</v>
      </c>
      <c r="T44" s="294" t="s">
        <v>556</v>
      </c>
      <c r="U44" s="309"/>
      <c r="V44" s="2359"/>
      <c r="W44" s="2360"/>
      <c r="X44" s="2360"/>
      <c r="Y44" s="2360"/>
      <c r="Z44" s="2360"/>
      <c r="AA44" s="2360"/>
      <c r="AB44" s="2361"/>
      <c r="AC44" s="2362"/>
      <c r="AD44" s="2363"/>
      <c r="AE44" s="2363"/>
      <c r="AF44" s="2363"/>
      <c r="AG44" s="2363"/>
      <c r="AH44" s="2363"/>
      <c r="AI44" s="2363"/>
      <c r="AJ44" s="2364"/>
      <c r="AK44" s="1267" t="s">
        <v>557</v>
      </c>
      <c r="AM44" s="509"/>
      <c r="AN44" s="509" t="str">
        <f>IF(T44="","",T44)</f>
        <v>Наименование признака дифференциации</v>
      </c>
      <c r="AO44" s="509"/>
      <c r="AP44" s="509"/>
      <c r="AQ44" s="1164">
        <v>23</v>
      </c>
    </row>
    <row customHeight="1" ht="24">
      <c r="A45" s="1372" t="s">
        <v>304</v>
      </c>
      <c r="B45" s="1372" t="s">
        <v>305</v>
      </c>
      <c r="C45" s="1372" t="s">
        <v>306</v>
      </c>
      <c r="D45" s="1372" t="s">
        <v>569</v>
      </c>
      <c r="E45" s="2268"/>
      <c r="F45" s="2268"/>
      <c r="G45" s="2268"/>
      <c r="H45" s="2268"/>
      <c r="I45" s="2295"/>
      <c r="J45" s="2265" t="str">
        <f>I44&amp;".1"</f>
        <v>...1.1</v>
      </c>
      <c r="K45" s="1372"/>
      <c r="L45" s="1373" t="s">
        <v>479</v>
      </c>
      <c r="P45" s="2266"/>
      <c r="Q45" s="2266">
        <v>1</v>
      </c>
      <c r="R45" s="366"/>
      <c r="S45" s="1466" t="str">
        <f>$J45</f>
        <v>...1.1</v>
      </c>
      <c r="T45" s="295" t="s">
        <v>480</v>
      </c>
      <c r="U45" s="309"/>
      <c r="V45" s="2254"/>
      <c r="W45" s="2255"/>
      <c r="X45" s="2255"/>
      <c r="Y45" s="2255"/>
      <c r="Z45" s="2255"/>
      <c r="AA45" s="2255"/>
      <c r="AB45" s="2256"/>
      <c r="AC45" s="2254"/>
      <c r="AD45" s="2255"/>
      <c r="AE45" s="2255"/>
      <c r="AF45" s="2255"/>
      <c r="AG45" s="2255"/>
      <c r="AH45" s="2255"/>
      <c r="AI45" s="2255"/>
      <c r="AJ45" s="2256"/>
      <c r="AK45" s="1316" t="s">
        <v>558</v>
      </c>
      <c r="AM45" s="509"/>
      <c r="AN45" s="509" t="str">
        <f>IF(T45="","",T45)</f>
        <v>Группа потребителей</v>
      </c>
      <c r="AO45" s="509"/>
      <c r="AP45" s="509"/>
      <c r="AQ45" s="1164">
        <v>23</v>
      </c>
    </row>
    <row customHeight="1" ht="24">
      <c r="A46" s="1372" t="s">
        <v>304</v>
      </c>
      <c r="B46" s="1372" t="s">
        <v>305</v>
      </c>
      <c r="C46" s="1372" t="s">
        <v>306</v>
      </c>
      <c r="D46" s="1372" t="s">
        <v>569</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304</v>
      </c>
      <c r="B47" s="1372" t="s">
        <v>305</v>
      </c>
      <c r="C47" s="1372" t="s">
        <v>306</v>
      </c>
      <c r="D47" s="1372" t="s">
        <v>569</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304</v>
      </c>
      <c r="B48" s="1372" t="s">
        <v>305</v>
      </c>
      <c r="C48" s="1372" t="s">
        <v>306</v>
      </c>
      <c r="D48" s="1372" t="s">
        <v>569</v>
      </c>
      <c r="E48" s="2268"/>
      <c r="F48" s="2268"/>
      <c r="G48" s="2268"/>
      <c r="H48" s="2268"/>
      <c r="I48" s="2295"/>
      <c r="J48" s="2265"/>
      <c r="K48" s="1372"/>
      <c r="L48" s="1373"/>
      <c r="P48" s="2266"/>
      <c r="Q48" s="2266"/>
      <c r="R48" s="365"/>
      <c r="S48" s="1287"/>
      <c r="T48" s="296" t="s">
        <v>559</v>
      </c>
      <c r="U48" s="376"/>
      <c r="V48" s="376"/>
      <c r="W48" s="376"/>
      <c r="X48" s="376"/>
      <c r="Y48" s="376"/>
      <c r="Z48" s="376"/>
      <c r="AA48" s="376"/>
      <c r="AB48" s="376"/>
      <c r="AC48" s="376"/>
      <c r="AD48" s="376"/>
      <c r="AE48" s="376"/>
      <c r="AF48" s="376"/>
      <c r="AG48" s="376"/>
      <c r="AH48" s="376"/>
      <c r="AI48" s="376"/>
      <c r="AJ48" s="376"/>
      <c r="AK48" s="1267" t="s">
        <v>560</v>
      </c>
      <c r="AM48" s="509"/>
      <c r="AN48" s="509" t="str">
        <f>IF(T48="","",T48)</f>
        <v>Добавить значение признака дифференциации</v>
      </c>
      <c r="AO48" s="509"/>
      <c r="AP48" s="509"/>
      <c r="AQ48" s="1164">
        <v>20</v>
      </c>
    </row>
    <row customHeight="1" ht="22.049999999999997">
      <c r="A49" s="1372" t="s">
        <v>304</v>
      </c>
      <c r="B49" s="1372" t="s">
        <v>305</v>
      </c>
      <c r="C49" s="1372" t="s">
        <v>306</v>
      </c>
      <c r="D49" s="1372" t="s">
        <v>569</v>
      </c>
      <c r="E49" s="2268"/>
      <c r="F49" s="2268"/>
      <c r="G49" s="2268"/>
      <c r="H49" s="2268"/>
      <c r="I49" s="2265"/>
      <c r="J49" s="1372"/>
      <c r="K49" s="1372"/>
      <c r="L49" s="1373"/>
      <c r="P49" s="2266"/>
      <c r="Q49" s="1459"/>
      <c r="R49" s="365"/>
      <c r="S49" s="1287"/>
      <c r="T49" s="374" t="s">
        <v>485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304</v>
      </c>
      <c r="B50" s="1372" t="s">
        <v>305</v>
      </c>
      <c r="C50" s="1372" t="s">
        <v>306</v>
      </c>
      <c r="D50" s="1372" t="s">
        <v>569</v>
      </c>
      <c r="E50" s="2268"/>
      <c r="F50" s="2268"/>
      <c r="G50" s="2268"/>
      <c r="H50" s="2267"/>
      <c r="I50" s="1372"/>
      <c r="J50" s="1372"/>
      <c r="K50" s="1372"/>
      <c r="L50" s="1373"/>
      <c r="M50" s="1374"/>
      <c r="N50" s="1374"/>
      <c r="O50" s="546"/>
      <c r="P50" s="369"/>
      <c r="Q50" s="384"/>
      <c r="R50" s="364"/>
      <c r="S50" s="1287"/>
      <c r="T50" s="381" t="s">
        <v>561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304</v>
      </c>
      <c r="B51" s="1352" t="s">
        <v>305</v>
      </c>
      <c r="C51" s="1323"/>
      <c r="D51" s="1323"/>
      <c r="E51" s="2268"/>
      <c r="F51" s="2267"/>
      <c r="G51" s="1323"/>
      <c r="H51" s="1323"/>
      <c r="I51" s="1323"/>
      <c r="J51" s="1323"/>
      <c r="K51" s="1323"/>
      <c r="L51" s="1467"/>
      <c r="M51" s="1330"/>
      <c r="N51" s="1330"/>
      <c r="P51" s="1325"/>
      <c r="Q51" s="1326"/>
      <c r="R51" s="1325"/>
      <c r="S51" s="1331"/>
      <c r="T51" s="1334" t="s">
        <v>488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304</v>
      </c>
      <c r="B52" s="1352"/>
      <c r="C52" s="1352"/>
      <c r="D52" s="1352"/>
      <c r="E52" s="2267"/>
      <c r="F52" s="1352"/>
      <c r="G52" s="1352"/>
      <c r="H52" s="1352"/>
      <c r="I52" s="1352"/>
      <c r="J52" s="1352"/>
      <c r="K52" s="1352"/>
      <c r="L52" s="1355"/>
      <c r="M52" s="1330"/>
      <c r="N52" s="1330"/>
      <c r="O52" s="527"/>
      <c r="P52" s="389"/>
      <c r="Q52" s="1353"/>
      <c r="R52" s="389"/>
      <c r="S52" s="1331"/>
      <c r="T52" s="1334" t="s">
        <v>489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521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C2DD7-F20E-2035-9DF8-0.784DD1E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204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556</v>
      </c>
      <c r="U5" s="309"/>
      <c r="V5" s="2359"/>
      <c r="W5" s="2360"/>
      <c r="X5" s="2360"/>
      <c r="Y5" s="2360"/>
      <c r="Z5" s="2360"/>
      <c r="AA5" s="2360"/>
      <c r="AB5" s="2361"/>
      <c r="AC5" s="2362"/>
      <c r="AD5" s="2363"/>
      <c r="AE5" s="2363"/>
      <c r="AF5" s="2363"/>
      <c r="AG5" s="2363"/>
      <c r="AH5" s="2363"/>
      <c r="AI5" s="2363"/>
      <c r="AJ5" s="2364"/>
      <c r="AK5" s="1267" t="s">
        <v>557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479</v>
      </c>
      <c r="P6" s="2266"/>
      <c r="Q6" s="2266">
        <v>1</v>
      </c>
      <c r="R6" s="366"/>
      <c r="S6" s="1466">
        <f>$J6</f>
      </c>
      <c r="T6" s="295" t="s">
        <v>480</v>
      </c>
      <c r="U6" s="309"/>
      <c r="V6" s="2254"/>
      <c r="W6" s="2255"/>
      <c r="X6" s="2255"/>
      <c r="Y6" s="2255"/>
      <c r="Z6" s="2255"/>
      <c r="AA6" s="2255"/>
      <c r="AB6" s="2256"/>
      <c r="AC6" s="2254"/>
      <c r="AD6" s="2255"/>
      <c r="AE6" s="2255"/>
      <c r="AF6" s="2255"/>
      <c r="AG6" s="2255"/>
      <c r="AH6" s="2255"/>
      <c r="AI6" s="2255"/>
      <c r="AJ6" s="2256"/>
      <c r="AK6" s="1316" t="s">
        <v>558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376"/>
      <c r="X9" s="376"/>
      <c r="Y9" s="376"/>
      <c r="Z9" s="376"/>
      <c r="AA9" s="376"/>
      <c r="AB9" s="376"/>
      <c r="AC9" s="376"/>
      <c r="AD9" s="376"/>
      <c r="AE9" s="376"/>
      <c r="AF9" s="376"/>
      <c r="AG9" s="376"/>
      <c r="AH9" s="376"/>
      <c r="AI9" s="376"/>
      <c r="AJ9" s="376"/>
      <c r="AK9" s="1267" t="s">
        <v>560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491</v>
      </c>
      <c r="P20" s="1371"/>
      <c r="Q20" s="1451"/>
      <c r="R20" s="1451"/>
      <c r="S20" s="738"/>
      <c r="T20" s="1169" t="s">
        <v>492</v>
      </c>
      <c r="Z20" s="195" t="s">
        <v>493</v>
      </c>
      <c r="AB20" s="195" t="s">
        <v>494</v>
      </c>
      <c r="AC20" s="1169" t="s">
        <v>492</v>
      </c>
      <c r="AG20" s="195" t="s">
        <v>495</v>
      </c>
      <c r="AI20" s="195" t="s">
        <v>494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500</v>
      </c>
      <c r="AC34" s="335"/>
      <c r="AD34" s="335"/>
      <c r="AE34" s="335"/>
      <c r="AF34" s="335"/>
      <c r="AG34" s="335"/>
      <c r="AH34" s="335"/>
      <c r="AI34" s="287" t="s">
        <v>500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t="s">
        <v>374</v>
      </c>
      <c r="AQ36" s="1164">
        <v>14</v>
      </c>
    </row>
    <row customHeight="1" ht="14.699999999999998">
      <c r="Q37" s="385"/>
      <c r="R37" s="385"/>
      <c r="S37" s="2282" t="s">
        <v>88</v>
      </c>
      <c r="T37" s="2218" t="s">
        <v>501</v>
      </c>
      <c r="U37" s="310"/>
      <c r="V37" s="2283" t="s">
        <v>502</v>
      </c>
      <c r="W37" s="2284"/>
      <c r="X37" s="2284"/>
      <c r="Y37" s="2284"/>
      <c r="Z37" s="2284"/>
      <c r="AA37" s="2285"/>
      <c r="AB37" s="2286" t="s">
        <v>503</v>
      </c>
      <c r="AC37" s="2283" t="s">
        <v>502</v>
      </c>
      <c r="AD37" s="2284"/>
      <c r="AE37" s="2284"/>
      <c r="AF37" s="2284"/>
      <c r="AG37" s="2284"/>
      <c r="AH37" s="2285"/>
      <c r="AI37" s="2286" t="s">
        <v>504</v>
      </c>
      <c r="AJ37" s="2289" t="s">
        <v>505</v>
      </c>
      <c r="AK37" s="2136"/>
      <c r="AQ37" s="1164">
        <v>14</v>
      </c>
    </row>
    <row customHeight="1" ht="35.699999999999996">
      <c r="Q38" s="385"/>
      <c r="R38" s="385"/>
      <c r="S38" s="2282"/>
      <c r="T38" s="2218"/>
      <c r="U38" s="1040"/>
      <c r="V38" s="1461" t="s">
        <v>562</v>
      </c>
      <c r="W38" s="2271" t="s">
        <v>508</v>
      </c>
      <c r="X38" s="2272"/>
      <c r="Y38" s="2271" t="s">
        <v>509</v>
      </c>
      <c r="Z38" s="2278"/>
      <c r="AA38" s="2272"/>
      <c r="AB38" s="2287"/>
      <c r="AC38" s="1461" t="s">
        <v>562</v>
      </c>
      <c r="AD38" s="2271" t="s">
        <v>508</v>
      </c>
      <c r="AE38" s="2272"/>
      <c r="AF38" s="2271" t="s">
        <v>509</v>
      </c>
      <c r="AG38" s="2278"/>
      <c r="AH38" s="2272"/>
      <c r="AI38" s="2287"/>
      <c r="AJ38" s="2290"/>
      <c r="AK38" s="2136"/>
      <c r="AQ38" s="1164">
        <v>34</v>
      </c>
    </row>
    <row customHeight="1" ht="35.699999999999996">
      <c r="A39" s="1379"/>
      <c r="B39" s="1379" t="s">
        <v>216</v>
      </c>
      <c r="C39" s="1379" t="s">
        <v>217</v>
      </c>
      <c r="D39" s="1379" t="s">
        <v>218</v>
      </c>
      <c r="E39" s="1373" t="s">
        <v>510</v>
      </c>
      <c r="F39" s="1373" t="s">
        <v>511</v>
      </c>
      <c r="G39" s="1373" t="s">
        <v>512</v>
      </c>
      <c r="H39" s="1373"/>
      <c r="I39" s="1373" t="s">
        <v>563</v>
      </c>
      <c r="J39" s="1373" t="s">
        <v>515</v>
      </c>
      <c r="K39" s="1373" t="s">
        <v>564</v>
      </c>
      <c r="L39" s="1373" t="s">
        <v>491</v>
      </c>
      <c r="Q39" s="385"/>
      <c r="R39" s="385"/>
      <c r="S39" s="2282"/>
      <c r="T39" s="2218"/>
      <c r="U39" s="311"/>
      <c r="V39" s="1461" t="s">
        <v>565</v>
      </c>
      <c r="W39" s="1231" t="s">
        <v>566</v>
      </c>
      <c r="X39" s="1231" t="s">
        <v>567</v>
      </c>
      <c r="Y39" s="1464" t="s">
        <v>519</v>
      </c>
      <c r="Z39" s="2279" t="s">
        <v>520</v>
      </c>
      <c r="AA39" s="2280"/>
      <c r="AB39" s="2288"/>
      <c r="AC39" s="1461" t="s">
        <v>565</v>
      </c>
      <c r="AD39" s="1231" t="s">
        <v>566</v>
      </c>
      <c r="AE39" s="1231" t="s">
        <v>567</v>
      </c>
      <c r="AF39" s="1464" t="s">
        <v>519</v>
      </c>
      <c r="AG39" s="2279" t="s">
        <v>520</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309</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204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309</v>
      </c>
      <c r="B42" s="1372" t="s">
        <v>310</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471</v>
      </c>
      <c r="AM42" s="509"/>
      <c r="AN42" s="509" t="str">
        <f>IF(T42="","",T42)</f>
        <v>Территория действия тарифа</v>
      </c>
      <c r="AO42" s="509"/>
      <c r="AP42" s="509"/>
      <c r="AQ42" s="1164">
        <v>23</v>
      </c>
    </row>
    <row customHeight="1" ht="24">
      <c r="A43" s="1372" t="s">
        <v>309</v>
      </c>
      <c r="B43" s="1372" t="s">
        <v>310</v>
      </c>
      <c r="C43" s="1372" t="s">
        <v>311</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555</v>
      </c>
      <c r="AM43" s="509"/>
      <c r="AN43" s="509" t="str">
        <f>IF(T43="","",T43)</f>
        <v>Наименование централизованной системы холодного водоснабжения</v>
      </c>
      <c r="AO43" s="509"/>
      <c r="AP43" s="509"/>
      <c r="AQ43" s="1164">
        <v>23</v>
      </c>
    </row>
    <row customHeight="1" ht="24">
      <c r="A44" s="1372" t="s">
        <v>309</v>
      </c>
      <c r="B44" s="1372" t="s">
        <v>310</v>
      </c>
      <c r="C44" s="1372" t="s">
        <v>311</v>
      </c>
      <c r="D44" s="1372" t="s">
        <v>570</v>
      </c>
      <c r="E44" s="2268"/>
      <c r="F44" s="2268"/>
      <c r="G44" s="2268"/>
      <c r="H44" s="2268"/>
      <c r="I44" s="2265" t="str">
        <f>S43&amp;".1"</f>
        <v>...1</v>
      </c>
      <c r="J44" s="1372"/>
      <c r="K44" s="1372"/>
      <c r="L44" s="1373"/>
      <c r="P44" s="2266">
        <v>1</v>
      </c>
      <c r="Q44" s="1459"/>
      <c r="R44" s="365"/>
      <c r="S44" s="1466" t="str">
        <f>$I44</f>
        <v>...1</v>
      </c>
      <c r="T44" s="294" t="s">
        <v>556</v>
      </c>
      <c r="U44" s="309"/>
      <c r="V44" s="2359"/>
      <c r="W44" s="2360"/>
      <c r="X44" s="2360"/>
      <c r="Y44" s="2360"/>
      <c r="Z44" s="2360"/>
      <c r="AA44" s="2360"/>
      <c r="AB44" s="2361"/>
      <c r="AC44" s="2362"/>
      <c r="AD44" s="2363"/>
      <c r="AE44" s="2363"/>
      <c r="AF44" s="2363"/>
      <c r="AG44" s="2363"/>
      <c r="AH44" s="2363"/>
      <c r="AI44" s="2363"/>
      <c r="AJ44" s="2364"/>
      <c r="AK44" s="1267" t="s">
        <v>557</v>
      </c>
      <c r="AM44" s="509"/>
      <c r="AN44" s="509" t="str">
        <f>IF(T44="","",T44)</f>
        <v>Наименование признака дифференциации</v>
      </c>
      <c r="AO44" s="509"/>
      <c r="AP44" s="509"/>
      <c r="AQ44" s="1164">
        <v>23</v>
      </c>
    </row>
    <row customHeight="1" ht="24">
      <c r="A45" s="1372" t="s">
        <v>309</v>
      </c>
      <c r="B45" s="1372" t="s">
        <v>310</v>
      </c>
      <c r="C45" s="1372" t="s">
        <v>311</v>
      </c>
      <c r="D45" s="1372" t="s">
        <v>570</v>
      </c>
      <c r="E45" s="2268"/>
      <c r="F45" s="2268"/>
      <c r="G45" s="2268"/>
      <c r="H45" s="2268"/>
      <c r="I45" s="2295"/>
      <c r="J45" s="2265" t="str">
        <f>I44&amp;".1"</f>
        <v>...1.1</v>
      </c>
      <c r="K45" s="1372"/>
      <c r="L45" s="1373" t="s">
        <v>479</v>
      </c>
      <c r="P45" s="2266"/>
      <c r="Q45" s="2266">
        <v>1</v>
      </c>
      <c r="R45" s="366"/>
      <c r="S45" s="1466" t="str">
        <f>$J45</f>
        <v>...1.1</v>
      </c>
      <c r="T45" s="295" t="s">
        <v>480</v>
      </c>
      <c r="U45" s="309"/>
      <c r="V45" s="2254"/>
      <c r="W45" s="2255"/>
      <c r="X45" s="2255"/>
      <c r="Y45" s="2255"/>
      <c r="Z45" s="2255"/>
      <c r="AA45" s="2255"/>
      <c r="AB45" s="2256"/>
      <c r="AC45" s="2254"/>
      <c r="AD45" s="2255"/>
      <c r="AE45" s="2255"/>
      <c r="AF45" s="2255"/>
      <c r="AG45" s="2255"/>
      <c r="AH45" s="2255"/>
      <c r="AI45" s="2255"/>
      <c r="AJ45" s="2256"/>
      <c r="AK45" s="1316" t="s">
        <v>558</v>
      </c>
      <c r="AM45" s="509"/>
      <c r="AN45" s="509" t="str">
        <f>IF(T45="","",T45)</f>
        <v>Группа потребителей</v>
      </c>
      <c r="AO45" s="509"/>
      <c r="AP45" s="509"/>
      <c r="AQ45" s="1164">
        <v>23</v>
      </c>
    </row>
    <row customHeight="1" ht="24">
      <c r="A46" s="1372" t="s">
        <v>309</v>
      </c>
      <c r="B46" s="1372" t="s">
        <v>310</v>
      </c>
      <c r="C46" s="1372" t="s">
        <v>311</v>
      </c>
      <c r="D46" s="1372" t="s">
        <v>570</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309</v>
      </c>
      <c r="B47" s="1372" t="s">
        <v>310</v>
      </c>
      <c r="C47" s="1372" t="s">
        <v>311</v>
      </c>
      <c r="D47" s="1372" t="s">
        <v>570</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309</v>
      </c>
      <c r="B48" s="1372" t="s">
        <v>310</v>
      </c>
      <c r="C48" s="1372" t="s">
        <v>311</v>
      </c>
      <c r="D48" s="1372" t="s">
        <v>570</v>
      </c>
      <c r="E48" s="2268"/>
      <c r="F48" s="2268"/>
      <c r="G48" s="2268"/>
      <c r="H48" s="2268"/>
      <c r="I48" s="2295"/>
      <c r="J48" s="2265"/>
      <c r="K48" s="1372"/>
      <c r="L48" s="1373"/>
      <c r="P48" s="2266"/>
      <c r="Q48" s="2266"/>
      <c r="R48" s="365"/>
      <c r="S48" s="1287"/>
      <c r="T48" s="296" t="s">
        <v>559</v>
      </c>
      <c r="U48" s="376"/>
      <c r="V48" s="376"/>
      <c r="W48" s="376"/>
      <c r="X48" s="376"/>
      <c r="Y48" s="376"/>
      <c r="Z48" s="376"/>
      <c r="AA48" s="376"/>
      <c r="AB48" s="376"/>
      <c r="AC48" s="376"/>
      <c r="AD48" s="376"/>
      <c r="AE48" s="376"/>
      <c r="AF48" s="376"/>
      <c r="AG48" s="376"/>
      <c r="AH48" s="376"/>
      <c r="AI48" s="376"/>
      <c r="AJ48" s="376"/>
      <c r="AK48" s="1267" t="s">
        <v>560</v>
      </c>
      <c r="AM48" s="509"/>
      <c r="AN48" s="509" t="str">
        <f>IF(T48="","",T48)</f>
        <v>Добавить значение признака дифференциации</v>
      </c>
      <c r="AO48" s="509"/>
      <c r="AP48" s="509"/>
      <c r="AQ48" s="1164">
        <v>20</v>
      </c>
    </row>
    <row customHeight="1" ht="22.049999999999997">
      <c r="A49" s="1372" t="s">
        <v>309</v>
      </c>
      <c r="B49" s="1372" t="s">
        <v>310</v>
      </c>
      <c r="C49" s="1372" t="s">
        <v>311</v>
      </c>
      <c r="D49" s="1372" t="s">
        <v>570</v>
      </c>
      <c r="E49" s="2268"/>
      <c r="F49" s="2268"/>
      <c r="G49" s="2268"/>
      <c r="H49" s="2268"/>
      <c r="I49" s="2265"/>
      <c r="J49" s="1372"/>
      <c r="K49" s="1372"/>
      <c r="L49" s="1373"/>
      <c r="P49" s="2266"/>
      <c r="Q49" s="1459"/>
      <c r="R49" s="365"/>
      <c r="S49" s="1287"/>
      <c r="T49" s="374" t="s">
        <v>485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309</v>
      </c>
      <c r="B50" s="1372" t="s">
        <v>310</v>
      </c>
      <c r="C50" s="1372" t="s">
        <v>311</v>
      </c>
      <c r="D50" s="1372" t="s">
        <v>570</v>
      </c>
      <c r="E50" s="2268"/>
      <c r="F50" s="2268"/>
      <c r="G50" s="2268"/>
      <c r="H50" s="2267"/>
      <c r="I50" s="1372"/>
      <c r="J50" s="1372"/>
      <c r="K50" s="1372"/>
      <c r="L50" s="1373"/>
      <c r="M50" s="1374"/>
      <c r="N50" s="1374"/>
      <c r="O50" s="546"/>
      <c r="P50" s="369"/>
      <c r="Q50" s="384"/>
      <c r="R50" s="364"/>
      <c r="S50" s="1287"/>
      <c r="T50" s="381" t="s">
        <v>561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309</v>
      </c>
      <c r="B51" s="1352" t="s">
        <v>310</v>
      </c>
      <c r="C51" s="1323"/>
      <c r="D51" s="1323"/>
      <c r="E51" s="2268"/>
      <c r="F51" s="2267"/>
      <c r="G51" s="1323"/>
      <c r="H51" s="1323"/>
      <c r="I51" s="1323"/>
      <c r="J51" s="1323"/>
      <c r="K51" s="1323"/>
      <c r="L51" s="1467"/>
      <c r="M51" s="1330"/>
      <c r="N51" s="1330"/>
      <c r="P51" s="1325"/>
      <c r="Q51" s="1326"/>
      <c r="R51" s="1325"/>
      <c r="S51" s="1331"/>
      <c r="T51" s="1334" t="s">
        <v>488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309</v>
      </c>
      <c r="B52" s="1352"/>
      <c r="C52" s="1352"/>
      <c r="D52" s="1352"/>
      <c r="E52" s="2267"/>
      <c r="F52" s="1352"/>
      <c r="G52" s="1352"/>
      <c r="H52" s="1352"/>
      <c r="I52" s="1352"/>
      <c r="J52" s="1352"/>
      <c r="K52" s="1352"/>
      <c r="L52" s="1355"/>
      <c r="M52" s="1330"/>
      <c r="N52" s="1330"/>
      <c r="O52" s="527"/>
      <c r="P52" s="389"/>
      <c r="Q52" s="1353"/>
      <c r="R52" s="389"/>
      <c r="S52" s="1331"/>
      <c r="T52" s="1334" t="s">
        <v>489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521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00763-32B9-CC88-9C81-0.727D6B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204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554</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555</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556</v>
      </c>
      <c r="U5" s="309"/>
      <c r="V5" s="2359"/>
      <c r="W5" s="2360"/>
      <c r="X5" s="2360"/>
      <c r="Y5" s="2360"/>
      <c r="Z5" s="2360"/>
      <c r="AA5" s="2360"/>
      <c r="AB5" s="2361"/>
      <c r="AC5" s="2362"/>
      <c r="AD5" s="2363"/>
      <c r="AE5" s="2363"/>
      <c r="AF5" s="2363"/>
      <c r="AG5" s="2363"/>
      <c r="AH5" s="2363"/>
      <c r="AI5" s="2363"/>
      <c r="AJ5" s="2364"/>
      <c r="AK5" s="1267" t="s">
        <v>557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479</v>
      </c>
      <c r="P6" s="2266"/>
      <c r="Q6" s="2266">
        <v>1</v>
      </c>
      <c r="R6" s="366"/>
      <c r="S6" s="1466">
        <f>$J6</f>
      </c>
      <c r="T6" s="295" t="s">
        <v>480</v>
      </c>
      <c r="U6" s="309"/>
      <c r="V6" s="2254"/>
      <c r="W6" s="2255"/>
      <c r="X6" s="2255"/>
      <c r="Y6" s="2255"/>
      <c r="Z6" s="2255"/>
      <c r="AA6" s="2255"/>
      <c r="AB6" s="2256"/>
      <c r="AC6" s="2254"/>
      <c r="AD6" s="2255"/>
      <c r="AE6" s="2255"/>
      <c r="AF6" s="2255"/>
      <c r="AG6" s="2255"/>
      <c r="AH6" s="2255"/>
      <c r="AI6" s="2255"/>
      <c r="AJ6" s="2256"/>
      <c r="AK6" s="1316" t="s">
        <v>558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376"/>
      <c r="X9" s="376"/>
      <c r="Y9" s="376"/>
      <c r="Z9" s="376"/>
      <c r="AA9" s="376"/>
      <c r="AB9" s="376"/>
      <c r="AC9" s="376"/>
      <c r="AD9" s="376"/>
      <c r="AE9" s="376"/>
      <c r="AF9" s="376"/>
      <c r="AG9" s="376"/>
      <c r="AH9" s="376"/>
      <c r="AI9" s="376"/>
      <c r="AJ9" s="376"/>
      <c r="AK9" s="1267" t="s">
        <v>560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491</v>
      </c>
      <c r="P20" s="1371"/>
      <c r="Q20" s="1451"/>
      <c r="R20" s="1451"/>
      <c r="S20" s="738"/>
      <c r="T20" s="1169" t="s">
        <v>492</v>
      </c>
      <c r="Z20" s="195" t="s">
        <v>493</v>
      </c>
      <c r="AB20" s="195" t="s">
        <v>494</v>
      </c>
      <c r="AC20" s="1169" t="s">
        <v>492</v>
      </c>
      <c r="AG20" s="195" t="s">
        <v>495</v>
      </c>
      <c r="AI20" s="195" t="s">
        <v>494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500</v>
      </c>
      <c r="AC34" s="335"/>
      <c r="AD34" s="335"/>
      <c r="AE34" s="335"/>
      <c r="AF34" s="335"/>
      <c r="AG34" s="335"/>
      <c r="AH34" s="335"/>
      <c r="AI34" s="287" t="s">
        <v>500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t="s">
        <v>374</v>
      </c>
      <c r="AQ36" s="1164">
        <v>14</v>
      </c>
    </row>
    <row customHeight="1" ht="14.699999999999998">
      <c r="Q37" s="385"/>
      <c r="R37" s="385"/>
      <c r="S37" s="2282" t="s">
        <v>88</v>
      </c>
      <c r="T37" s="2218" t="s">
        <v>501</v>
      </c>
      <c r="U37" s="310"/>
      <c r="V37" s="2283" t="s">
        <v>502</v>
      </c>
      <c r="W37" s="2284"/>
      <c r="X37" s="2284"/>
      <c r="Y37" s="2284"/>
      <c r="Z37" s="2284"/>
      <c r="AA37" s="2285"/>
      <c r="AB37" s="2286" t="s">
        <v>503</v>
      </c>
      <c r="AC37" s="2283" t="s">
        <v>502</v>
      </c>
      <c r="AD37" s="2284"/>
      <c r="AE37" s="2284"/>
      <c r="AF37" s="2284"/>
      <c r="AG37" s="2284"/>
      <c r="AH37" s="2285"/>
      <c r="AI37" s="2286" t="s">
        <v>504</v>
      </c>
      <c r="AJ37" s="2289" t="s">
        <v>505</v>
      </c>
      <c r="AK37" s="2136"/>
      <c r="AQ37" s="1164">
        <v>14</v>
      </c>
    </row>
    <row customHeight="1" ht="35.699999999999996">
      <c r="Q38" s="385"/>
      <c r="R38" s="385"/>
      <c r="S38" s="2282"/>
      <c r="T38" s="2218"/>
      <c r="U38" s="1040"/>
      <c r="V38" s="1461" t="s">
        <v>562</v>
      </c>
      <c r="W38" s="2271" t="s">
        <v>508</v>
      </c>
      <c r="X38" s="2272"/>
      <c r="Y38" s="2271" t="s">
        <v>509</v>
      </c>
      <c r="Z38" s="2278"/>
      <c r="AA38" s="2272"/>
      <c r="AB38" s="2287"/>
      <c r="AC38" s="1461" t="s">
        <v>562</v>
      </c>
      <c r="AD38" s="2271" t="s">
        <v>508</v>
      </c>
      <c r="AE38" s="2272"/>
      <c r="AF38" s="2271" t="s">
        <v>509</v>
      </c>
      <c r="AG38" s="2278"/>
      <c r="AH38" s="2272"/>
      <c r="AI38" s="2287"/>
      <c r="AJ38" s="2290"/>
      <c r="AK38" s="2136"/>
      <c r="AQ38" s="1164">
        <v>34</v>
      </c>
    </row>
    <row customHeight="1" ht="35.699999999999996">
      <c r="A39" s="1379"/>
      <c r="B39" s="1379" t="s">
        <v>216</v>
      </c>
      <c r="C39" s="1379" t="s">
        <v>217</v>
      </c>
      <c r="D39" s="1379" t="s">
        <v>218</v>
      </c>
      <c r="E39" s="1373" t="s">
        <v>510</v>
      </c>
      <c r="F39" s="1373" t="s">
        <v>511</v>
      </c>
      <c r="G39" s="1373" t="s">
        <v>512</v>
      </c>
      <c r="H39" s="1373"/>
      <c r="I39" s="1373" t="s">
        <v>563</v>
      </c>
      <c r="J39" s="1373" t="s">
        <v>515</v>
      </c>
      <c r="K39" s="1373" t="s">
        <v>564</v>
      </c>
      <c r="L39" s="1373" t="s">
        <v>491</v>
      </c>
      <c r="Q39" s="385"/>
      <c r="R39" s="385"/>
      <c r="S39" s="2282"/>
      <c r="T39" s="2218"/>
      <c r="U39" s="311"/>
      <c r="V39" s="1461" t="s">
        <v>565</v>
      </c>
      <c r="W39" s="1231" t="s">
        <v>566</v>
      </c>
      <c r="X39" s="1231" t="s">
        <v>567</v>
      </c>
      <c r="Y39" s="1464" t="s">
        <v>519</v>
      </c>
      <c r="Z39" s="2279" t="s">
        <v>520</v>
      </c>
      <c r="AA39" s="2280"/>
      <c r="AB39" s="2288"/>
      <c r="AC39" s="1461" t="s">
        <v>565</v>
      </c>
      <c r="AD39" s="1231" t="s">
        <v>566</v>
      </c>
      <c r="AE39" s="1231" t="s">
        <v>567</v>
      </c>
      <c r="AF39" s="1464" t="s">
        <v>519</v>
      </c>
      <c r="AG39" s="2279" t="s">
        <v>520</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314</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204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314</v>
      </c>
      <c r="B42" s="1372" t="s">
        <v>315</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471</v>
      </c>
      <c r="AM42" s="509"/>
      <c r="AN42" s="509" t="str">
        <f>IF(T42="","",T42)</f>
        <v>Территория действия тарифа</v>
      </c>
      <c r="AO42" s="509"/>
      <c r="AP42" s="509"/>
      <c r="AQ42" s="1164">
        <v>23</v>
      </c>
    </row>
    <row customHeight="1" ht="24">
      <c r="A43" s="1372" t="s">
        <v>314</v>
      </c>
      <c r="B43" s="1372" t="s">
        <v>315</v>
      </c>
      <c r="C43" s="1372" t="s">
        <v>316</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554</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555</v>
      </c>
      <c r="AM43" s="509"/>
      <c r="AN43" s="509" t="str">
        <f>IF(T43="","",T43)</f>
        <v>Наименование централизованной системы холодного водоснабжения</v>
      </c>
      <c r="AO43" s="509"/>
      <c r="AP43" s="509"/>
      <c r="AQ43" s="1164">
        <v>23</v>
      </c>
    </row>
    <row customHeight="1" ht="24">
      <c r="A44" s="1372" t="s">
        <v>314</v>
      </c>
      <c r="B44" s="1372" t="s">
        <v>315</v>
      </c>
      <c r="C44" s="1372" t="s">
        <v>316</v>
      </c>
      <c r="D44" s="1372" t="s">
        <v>571</v>
      </c>
      <c r="E44" s="2268"/>
      <c r="F44" s="2268"/>
      <c r="G44" s="2268"/>
      <c r="H44" s="2268"/>
      <c r="I44" s="2265" t="str">
        <f>S43&amp;".1"</f>
        <v>...1</v>
      </c>
      <c r="J44" s="1372"/>
      <c r="K44" s="1372"/>
      <c r="L44" s="1373"/>
      <c r="P44" s="2266">
        <v>1</v>
      </c>
      <c r="Q44" s="1459"/>
      <c r="R44" s="365"/>
      <c r="S44" s="1466" t="str">
        <f>$I44</f>
        <v>...1</v>
      </c>
      <c r="T44" s="294" t="s">
        <v>556</v>
      </c>
      <c r="U44" s="309"/>
      <c r="V44" s="2359"/>
      <c r="W44" s="2360"/>
      <c r="X44" s="2360"/>
      <c r="Y44" s="2360"/>
      <c r="Z44" s="2360"/>
      <c r="AA44" s="2360"/>
      <c r="AB44" s="2361"/>
      <c r="AC44" s="2362"/>
      <c r="AD44" s="2363"/>
      <c r="AE44" s="2363"/>
      <c r="AF44" s="2363"/>
      <c r="AG44" s="2363"/>
      <c r="AH44" s="2363"/>
      <c r="AI44" s="2363"/>
      <c r="AJ44" s="2364"/>
      <c r="AK44" s="1267" t="s">
        <v>557</v>
      </c>
      <c r="AM44" s="509"/>
      <c r="AN44" s="509" t="str">
        <f>IF(T44="","",T44)</f>
        <v>Наименование признака дифференциации</v>
      </c>
      <c r="AO44" s="509"/>
      <c r="AP44" s="509"/>
      <c r="AQ44" s="1164">
        <v>23</v>
      </c>
    </row>
    <row customHeight="1" ht="24">
      <c r="A45" s="1372" t="s">
        <v>314</v>
      </c>
      <c r="B45" s="1372" t="s">
        <v>315</v>
      </c>
      <c r="C45" s="1372" t="s">
        <v>316</v>
      </c>
      <c r="D45" s="1372" t="s">
        <v>571</v>
      </c>
      <c r="E45" s="2268"/>
      <c r="F45" s="2268"/>
      <c r="G45" s="2268"/>
      <c r="H45" s="2268"/>
      <c r="I45" s="2295"/>
      <c r="J45" s="2265" t="str">
        <f>I44&amp;".1"</f>
        <v>...1.1</v>
      </c>
      <c r="K45" s="1372"/>
      <c r="L45" s="1373" t="s">
        <v>479</v>
      </c>
      <c r="P45" s="2266"/>
      <c r="Q45" s="2266">
        <v>1</v>
      </c>
      <c r="R45" s="366"/>
      <c r="S45" s="1466" t="str">
        <f>$J45</f>
        <v>...1.1</v>
      </c>
      <c r="T45" s="295" t="s">
        <v>480</v>
      </c>
      <c r="U45" s="309"/>
      <c r="V45" s="2254"/>
      <c r="W45" s="2255"/>
      <c r="X45" s="2255"/>
      <c r="Y45" s="2255"/>
      <c r="Z45" s="2255"/>
      <c r="AA45" s="2255"/>
      <c r="AB45" s="2256"/>
      <c r="AC45" s="2254"/>
      <c r="AD45" s="2255"/>
      <c r="AE45" s="2255"/>
      <c r="AF45" s="2255"/>
      <c r="AG45" s="2255"/>
      <c r="AH45" s="2255"/>
      <c r="AI45" s="2255"/>
      <c r="AJ45" s="2256"/>
      <c r="AK45" s="1316" t="s">
        <v>558</v>
      </c>
      <c r="AM45" s="509"/>
      <c r="AN45" s="509" t="str">
        <f>IF(T45="","",T45)</f>
        <v>Группа потребителей</v>
      </c>
      <c r="AO45" s="509"/>
      <c r="AP45" s="509"/>
      <c r="AQ45" s="1164">
        <v>23</v>
      </c>
    </row>
    <row customHeight="1" ht="24">
      <c r="A46" s="1372" t="s">
        <v>314</v>
      </c>
      <c r="B46" s="1372" t="s">
        <v>315</v>
      </c>
      <c r="C46" s="1372" t="s">
        <v>316</v>
      </c>
      <c r="D46" s="1372" t="s">
        <v>571</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66</v>
      </c>
      <c r="AA46" s="2274"/>
      <c r="AB46" s="2116" t="s">
        <v>66</v>
      </c>
      <c r="AC46" s="760"/>
      <c r="AD46" s="760"/>
      <c r="AE46" s="1266"/>
      <c r="AF46" s="2274"/>
      <c r="AG46" s="2116" t="s">
        <v>66</v>
      </c>
      <c r="AH46" s="2296"/>
      <c r="AI46" s="2116" t="s">
        <v>66</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314</v>
      </c>
      <c r="B47" s="1372" t="s">
        <v>315</v>
      </c>
      <c r="C47" s="1372" t="s">
        <v>316</v>
      </c>
      <c r="D47" s="1372" t="s">
        <v>571</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314</v>
      </c>
      <c r="B48" s="1372" t="s">
        <v>315</v>
      </c>
      <c r="C48" s="1372" t="s">
        <v>316</v>
      </c>
      <c r="D48" s="1372" t="s">
        <v>571</v>
      </c>
      <c r="E48" s="2268"/>
      <c r="F48" s="2268"/>
      <c r="G48" s="2268"/>
      <c r="H48" s="2268"/>
      <c r="I48" s="2295"/>
      <c r="J48" s="2265"/>
      <c r="K48" s="1372"/>
      <c r="L48" s="1373"/>
      <c r="P48" s="2266"/>
      <c r="Q48" s="2266"/>
      <c r="R48" s="365"/>
      <c r="S48" s="1287"/>
      <c r="T48" s="296" t="s">
        <v>559</v>
      </c>
      <c r="U48" s="376"/>
      <c r="V48" s="376"/>
      <c r="W48" s="376"/>
      <c r="X48" s="376"/>
      <c r="Y48" s="376"/>
      <c r="Z48" s="376"/>
      <c r="AA48" s="376"/>
      <c r="AB48" s="376"/>
      <c r="AC48" s="376"/>
      <c r="AD48" s="376"/>
      <c r="AE48" s="376"/>
      <c r="AF48" s="376"/>
      <c r="AG48" s="376"/>
      <c r="AH48" s="376"/>
      <c r="AI48" s="376"/>
      <c r="AJ48" s="376"/>
      <c r="AK48" s="1267" t="s">
        <v>560</v>
      </c>
      <c r="AM48" s="509"/>
      <c r="AN48" s="509" t="str">
        <f>IF(T48="","",T48)</f>
        <v>Добавить значение признака дифференциации</v>
      </c>
      <c r="AO48" s="509"/>
      <c r="AP48" s="509"/>
      <c r="AQ48" s="1164">
        <v>20</v>
      </c>
    </row>
    <row customHeight="1" ht="22.049999999999997">
      <c r="A49" s="1372" t="s">
        <v>314</v>
      </c>
      <c r="B49" s="1372" t="s">
        <v>315</v>
      </c>
      <c r="C49" s="1372" t="s">
        <v>316</v>
      </c>
      <c r="D49" s="1372" t="s">
        <v>571</v>
      </c>
      <c r="E49" s="2268"/>
      <c r="F49" s="2268"/>
      <c r="G49" s="2268"/>
      <c r="H49" s="2268"/>
      <c r="I49" s="2265"/>
      <c r="J49" s="1372"/>
      <c r="K49" s="1372"/>
      <c r="L49" s="1373"/>
      <c r="P49" s="2266"/>
      <c r="Q49" s="1459"/>
      <c r="R49" s="365"/>
      <c r="S49" s="1287"/>
      <c r="T49" s="374" t="s">
        <v>485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314</v>
      </c>
      <c r="B50" s="1372" t="s">
        <v>315</v>
      </c>
      <c r="C50" s="1372" t="s">
        <v>316</v>
      </c>
      <c r="D50" s="1372" t="s">
        <v>571</v>
      </c>
      <c r="E50" s="2268"/>
      <c r="F50" s="2268"/>
      <c r="G50" s="2268"/>
      <c r="H50" s="2267"/>
      <c r="I50" s="1372"/>
      <c r="J50" s="1372"/>
      <c r="K50" s="1372"/>
      <c r="L50" s="1373"/>
      <c r="M50" s="1374"/>
      <c r="N50" s="1374"/>
      <c r="O50" s="546"/>
      <c r="P50" s="369"/>
      <c r="Q50" s="384"/>
      <c r="R50" s="364"/>
      <c r="S50" s="1287"/>
      <c r="T50" s="381" t="s">
        <v>561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314</v>
      </c>
      <c r="B51" s="1352" t="s">
        <v>315</v>
      </c>
      <c r="C51" s="1323"/>
      <c r="D51" s="1323"/>
      <c r="E51" s="2268"/>
      <c r="F51" s="2267"/>
      <c r="G51" s="1323"/>
      <c r="H51" s="1323"/>
      <c r="I51" s="1323"/>
      <c r="J51" s="1323"/>
      <c r="K51" s="1323"/>
      <c r="L51" s="1467"/>
      <c r="M51" s="1330"/>
      <c r="N51" s="1330"/>
      <c r="P51" s="1325"/>
      <c r="Q51" s="1326"/>
      <c r="R51" s="1325"/>
      <c r="S51" s="1331"/>
      <c r="T51" s="1334" t="s">
        <v>488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314</v>
      </c>
      <c r="B52" s="1352"/>
      <c r="C52" s="1352"/>
      <c r="D52" s="1352"/>
      <c r="E52" s="2267"/>
      <c r="F52" s="1352"/>
      <c r="G52" s="1352"/>
      <c r="H52" s="1352"/>
      <c r="I52" s="1352"/>
      <c r="J52" s="1352"/>
      <c r="K52" s="1352"/>
      <c r="L52" s="1355"/>
      <c r="M52" s="1330"/>
      <c r="N52" s="1330"/>
      <c r="O52" s="527"/>
      <c r="P52" s="389"/>
      <c r="Q52" s="1353"/>
      <c r="R52" s="389"/>
      <c r="S52" s="1331"/>
      <c r="T52" s="1334" t="s">
        <v>489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521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413DF-B163-76C3-3D55-0.96C30E3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204</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469</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470</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471</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472</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473</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474</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475</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476</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66</v>
      </c>
      <c r="Z8" s="2001"/>
      <c r="AA8" s="1999" t="s">
        <v>66</v>
      </c>
      <c r="AB8" s="2005"/>
      <c r="AC8" s="2006" t="s">
        <v>22</v>
      </c>
      <c r="AD8" s="760"/>
      <c r="AE8" s="1266"/>
      <c r="AF8" s="1964"/>
      <c r="AG8" s="1951" t="s">
        <v>66</v>
      </c>
      <c r="AH8" s="1964"/>
      <c r="AI8" s="1951" t="s">
        <v>66</v>
      </c>
      <c r="AJ8" s="1357"/>
      <c r="AK8" s="2262" t="s">
        <v>537</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541</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487</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488</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489</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66</v>
      </c>
      <c r="AH16" s="1745"/>
      <c r="AI16" s="1975" t="s">
        <v>66</v>
      </c>
      <c r="AQ16" s="1640">
        <v>0</v>
      </c>
    </row>
    <row customHeight="1" ht="14.25" hidden="1">
      <c r="AL17" s="1650"/>
      <c r="AM17" s="1650"/>
      <c r="AN17" s="1650"/>
      <c r="AO17" s="1650"/>
      <c r="AP17" s="1650"/>
      <c r="AQ17" s="1640">
        <v>0</v>
      </c>
    </row>
    <row customHeight="1" ht="14.25" hidden="1">
      <c r="O18" s="1354" t="s">
        <v>490</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491</v>
      </c>
      <c r="P20" s="1517"/>
      <c r="Q20" s="1519"/>
      <c r="R20" s="1519"/>
      <c r="Y20" s="1516" t="s">
        <v>493</v>
      </c>
      <c r="AA20" s="1516" t="s">
        <v>494</v>
      </c>
      <c r="AC20" s="1516" t="s">
        <v>543</v>
      </c>
      <c r="AG20" s="1516" t="s">
        <v>493</v>
      </c>
      <c r="AI20" s="1516" t="s">
        <v>494</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496</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497</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496</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497</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500</v>
      </c>
      <c r="AB34" s="1651"/>
      <c r="AC34" s="1644"/>
      <c r="AD34" s="1644"/>
      <c r="AE34" s="1644"/>
      <c r="AF34" s="1644"/>
      <c r="AG34" s="1644"/>
      <c r="AH34" s="1644"/>
      <c r="AI34" s="1651" t="s">
        <v>500</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373</v>
      </c>
      <c r="T36" s="2136"/>
      <c r="U36" s="2136"/>
      <c r="V36" s="2136"/>
      <c r="W36" s="2136"/>
      <c r="X36" s="2136"/>
      <c r="Y36" s="2136"/>
      <c r="Z36" s="2136"/>
      <c r="AA36" s="2184"/>
      <c r="AB36" s="2184"/>
      <c r="AC36" s="2184"/>
      <c r="AD36" s="2136"/>
      <c r="AE36" s="2136"/>
      <c r="AF36" s="2136"/>
      <c r="AG36" s="2136"/>
      <c r="AH36" s="2136"/>
      <c r="AI36" s="2136"/>
      <c r="AJ36" s="2136"/>
      <c r="AK36" s="2136" t="s">
        <v>374</v>
      </c>
      <c r="AQ36" s="1640">
        <v>14</v>
      </c>
    </row>
    <row customHeight="1" ht="14.699999999999998">
      <c r="Q37" s="300"/>
      <c r="R37" s="385"/>
      <c r="S37" s="2282" t="s">
        <v>88</v>
      </c>
      <c r="T37" s="2218" t="s">
        <v>572</v>
      </c>
      <c r="U37" s="346"/>
      <c r="V37" s="2284"/>
      <c r="W37" s="2284"/>
      <c r="X37" s="2284"/>
      <c r="Y37" s="2284"/>
      <c r="Z37" s="2284"/>
      <c r="AA37" s="2218" t="s">
        <v>503</v>
      </c>
      <c r="AB37" s="2217" t="s">
        <v>573</v>
      </c>
      <c r="AC37" s="2217" t="s">
        <v>547</v>
      </c>
      <c r="AD37" s="2300" t="s">
        <v>502</v>
      </c>
      <c r="AE37" s="2300"/>
      <c r="AF37" s="2284"/>
      <c r="AG37" s="2284"/>
      <c r="AH37" s="2285"/>
      <c r="AI37" s="2286" t="s">
        <v>503</v>
      </c>
      <c r="AJ37" s="2289" t="s">
        <v>505</v>
      </c>
      <c r="AK37" s="2136"/>
      <c r="AQ37" s="1640">
        <v>14</v>
      </c>
    </row>
    <row customHeight="1" ht="35.699999999999996">
      <c r="Q38" s="300"/>
      <c r="R38" s="385"/>
      <c r="S38" s="2282"/>
      <c r="T38" s="2218"/>
      <c r="U38" s="1040"/>
      <c r="V38" s="2112" t="s">
        <v>550</v>
      </c>
      <c r="W38" s="2136"/>
      <c r="X38" s="2303" t="s">
        <v>509</v>
      </c>
      <c r="Y38" s="2322"/>
      <c r="Z38" s="2322"/>
      <c r="AA38" s="2218"/>
      <c r="AB38" s="2217"/>
      <c r="AC38" s="2217"/>
      <c r="AD38" s="2112" t="s">
        <v>550</v>
      </c>
      <c r="AE38" s="2136"/>
      <c r="AF38" s="2322" t="s">
        <v>509</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216</v>
      </c>
      <c r="C40" s="1275" t="s">
        <v>217</v>
      </c>
      <c r="D40" s="1275" t="s">
        <v>218</v>
      </c>
      <c r="E40" s="1319" t="s">
        <v>510</v>
      </c>
      <c r="F40" s="1319" t="s">
        <v>511</v>
      </c>
      <c r="G40" s="1319" t="s">
        <v>512</v>
      </c>
      <c r="H40" s="1319" t="s">
        <v>513</v>
      </c>
      <c r="I40" s="1319" t="s">
        <v>514</v>
      </c>
      <c r="J40" s="1319" t="s">
        <v>515</v>
      </c>
      <c r="K40" s="1319" t="s">
        <v>516</v>
      </c>
      <c r="L40" s="1319" t="s">
        <v>491</v>
      </c>
      <c r="Q40" s="300"/>
      <c r="R40" s="385"/>
      <c r="S40" s="2282"/>
      <c r="T40" s="2218"/>
      <c r="U40" s="311"/>
      <c r="V40" s="1959" t="s">
        <v>551</v>
      </c>
      <c r="W40" s="1959" t="s">
        <v>552</v>
      </c>
      <c r="X40" s="1947" t="s">
        <v>519</v>
      </c>
      <c r="Y40" s="2279" t="s">
        <v>520</v>
      </c>
      <c r="Z40" s="2329"/>
      <c r="AA40" s="2218"/>
      <c r="AB40" s="2217"/>
      <c r="AC40" s="2217"/>
      <c r="AD40" s="1977" t="s">
        <v>551</v>
      </c>
      <c r="AE40" s="1968" t="s">
        <v>552</v>
      </c>
      <c r="AF40" s="1947" t="s">
        <v>519</v>
      </c>
      <c r="AG40" s="2279" t="s">
        <v>520</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109</v>
      </c>
      <c r="T41" s="1264" t="s">
        <v>110</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279</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204</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279</v>
      </c>
      <c r="B43" s="1276" t="s">
        <v>280</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470</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471</v>
      </c>
      <c r="AM43" s="1633"/>
      <c r="AN43" s="1633" t="str">
        <f>IF(T43="","",T43)</f>
        <v>Территория действия тарифа</v>
      </c>
      <c r="AO43" s="1633"/>
      <c r="AP43" s="1633"/>
      <c r="AQ43" s="1640">
        <v>21</v>
      </c>
    </row>
    <row customHeight="1" ht="24">
      <c r="A44" s="1276" t="s">
        <v>279</v>
      </c>
      <c r="B44" s="1276" t="s">
        <v>280</v>
      </c>
      <c r="C44" s="1276" t="s">
        <v>281</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472</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473</v>
      </c>
      <c r="AM44" s="1633"/>
      <c r="AN44" s="1633" t="str">
        <f>IF(T44="","",T44)</f>
        <v>Наименование системы теплоснабжения </v>
      </c>
      <c r="AO44" s="1633"/>
      <c r="AP44" s="1633"/>
      <c r="AQ44" s="1640">
        <v>23</v>
      </c>
    </row>
    <row customHeight="1" ht="22.049999999999997">
      <c r="A45" s="1276" t="s">
        <v>279</v>
      </c>
      <c r="B45" s="1276" t="s">
        <v>280</v>
      </c>
      <c r="C45" s="1276" t="s">
        <v>281</v>
      </c>
      <c r="D45" s="1276" t="s">
        <v>282</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474</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475</v>
      </c>
      <c r="AM45" s="1633"/>
      <c r="AN45" s="1633" t="str">
        <f>IF(T45="","",T45)</f>
        <v>Источник тепловой энергии  </v>
      </c>
      <c r="AO45" s="1633"/>
      <c r="AP45" s="1633"/>
      <c r="AQ45" s="1640">
        <v>21</v>
      </c>
    </row>
    <row s="1651" customFormat="1" customHeight="1" ht="0">
      <c r="A46" s="1384" t="s">
        <v>279</v>
      </c>
      <c r="B46" s="1384" t="s">
        <v>280</v>
      </c>
      <c r="C46" s="1384" t="s">
        <v>281</v>
      </c>
      <c r="D46" s="1384" t="s">
        <v>282</v>
      </c>
      <c r="E46" s="2299"/>
      <c r="F46" s="2299"/>
      <c r="G46" s="2299"/>
      <c r="H46" s="2299"/>
      <c r="I46" s="2136" t="str">
        <f>S45&amp;".1"</f>
        <v>....1</v>
      </c>
      <c r="J46" s="1384"/>
      <c r="K46" s="1384"/>
      <c r="L46" s="1390" t="s">
        <v>476</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279</v>
      </c>
      <c r="B47" s="1384" t="s">
        <v>280</v>
      </c>
      <c r="C47" s="1384" t="s">
        <v>281</v>
      </c>
      <c r="D47" s="1384" t="s">
        <v>282</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279</v>
      </c>
      <c r="B48" s="1276" t="s">
        <v>280</v>
      </c>
      <c r="C48" s="1276" t="s">
        <v>281</v>
      </c>
      <c r="D48" s="1276" t="s">
        <v>282</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66</v>
      </c>
      <c r="Z48" s="1964"/>
      <c r="AA48" s="1951" t="s">
        <v>66</v>
      </c>
      <c r="AB48" s="1973"/>
      <c r="AC48" s="1972" t="s">
        <v>22</v>
      </c>
      <c r="AD48" s="760"/>
      <c r="AE48" s="1266"/>
      <c r="AF48" s="1964"/>
      <c r="AG48" s="1951" t="s">
        <v>66</v>
      </c>
      <c r="AH48" s="1964"/>
      <c r="AI48" s="1951" t="s">
        <v>66</v>
      </c>
      <c r="AJ48" s="1357"/>
      <c r="AK48" s="2262" t="s">
        <v>553</v>
      </c>
      <c r="AL48" s="1645">
        <f>STRCHECKDATE(#REF!)</f>
      </c>
      <c r="AM48" s="1633"/>
      <c r="AN48" s="1633" t="str">
        <f>IF(T48="","",T48)</f>
        <v/>
      </c>
      <c r="AO48" s="1633"/>
      <c r="AP48" s="1633"/>
      <c r="AQ48" s="1640">
        <v>21</v>
      </c>
    </row>
    <row customHeight="1" ht="11.549999999999999">
      <c r="A49" s="1276" t="s">
        <v>279</v>
      </c>
      <c r="B49" s="1276" t="s">
        <v>280</v>
      </c>
      <c r="C49" s="1276" t="s">
        <v>281</v>
      </c>
      <c r="D49" s="1276" t="s">
        <v>282</v>
      </c>
      <c r="E49" s="2299"/>
      <c r="F49" s="2299"/>
      <c r="G49" s="2299"/>
      <c r="H49" s="2299"/>
      <c r="I49" s="2110"/>
      <c r="J49" s="2136"/>
      <c r="K49" s="1276"/>
      <c r="L49" s="1319"/>
      <c r="P49" s="2266"/>
      <c r="Q49" s="2266"/>
      <c r="R49" s="365"/>
      <c r="S49" s="1287"/>
      <c r="T49" s="296" t="s">
        <v>541</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279</v>
      </c>
      <c r="B50" s="1384" t="s">
        <v>280</v>
      </c>
      <c r="C50" s="1384" t="s">
        <v>281</v>
      </c>
      <c r="D50" s="1384" t="s">
        <v>282</v>
      </c>
      <c r="E50" s="2299"/>
      <c r="F50" s="2299"/>
      <c r="G50" s="2299"/>
      <c r="H50" s="2299"/>
      <c r="I50" s="2136"/>
      <c r="J50" s="1384"/>
      <c r="K50" s="1384"/>
      <c r="L50" s="1390"/>
      <c r="M50" s="1255"/>
      <c r="N50" s="1255"/>
      <c r="O50" s="1255"/>
      <c r="P50" s="2266"/>
      <c r="Q50" s="1963"/>
      <c r="R50" s="365"/>
      <c r="S50" s="1395"/>
      <c r="T50" s="1396" t="s">
        <v>485</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279</v>
      </c>
      <c r="B51" s="1384" t="s">
        <v>280</v>
      </c>
      <c r="C51" s="1384" t="s">
        <v>281</v>
      </c>
      <c r="D51" s="1384" t="s">
        <v>282</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279</v>
      </c>
      <c r="B52" s="1384" t="s">
        <v>280</v>
      </c>
      <c r="C52" s="1384" t="s">
        <v>281</v>
      </c>
      <c r="D52" s="1383"/>
      <c r="E52" s="2299"/>
      <c r="F52" s="2299"/>
      <c r="G52" s="2298"/>
      <c r="H52" s="1383"/>
      <c r="I52" s="1383"/>
      <c r="J52" s="1383"/>
      <c r="K52" s="1383"/>
      <c r="L52" s="1386"/>
      <c r="M52" s="1387"/>
      <c r="N52" s="1387"/>
      <c r="O52" s="360"/>
      <c r="P52" s="1325"/>
      <c r="Q52" s="1326"/>
      <c r="R52" s="1325"/>
      <c r="S52" s="1331"/>
      <c r="T52" s="1334" t="s">
        <v>487</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279</v>
      </c>
      <c r="B53" s="1384" t="s">
        <v>280</v>
      </c>
      <c r="C53" s="1383"/>
      <c r="D53" s="1383"/>
      <c r="E53" s="2299"/>
      <c r="F53" s="2298"/>
      <c r="G53" s="1383"/>
      <c r="H53" s="1383"/>
      <c r="I53" s="1383"/>
      <c r="J53" s="1383"/>
      <c r="K53" s="1383"/>
      <c r="L53" s="1386"/>
      <c r="M53" s="1388"/>
      <c r="N53" s="1388"/>
      <c r="O53" s="360"/>
      <c r="P53" s="1325"/>
      <c r="Q53" s="1326"/>
      <c r="R53" s="1325"/>
      <c r="S53" s="1331"/>
      <c r="T53" s="1334" t="s">
        <v>488</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279</v>
      </c>
      <c r="B54" s="1384"/>
      <c r="C54" s="1384"/>
      <c r="D54" s="1384"/>
      <c r="E54" s="2299"/>
      <c r="F54" s="1384"/>
      <c r="G54" s="1384"/>
      <c r="H54" s="1384"/>
      <c r="I54" s="1384"/>
      <c r="J54" s="1384"/>
      <c r="K54" s="1384"/>
      <c r="L54" s="1390"/>
      <c r="M54" s="1388"/>
      <c r="N54" s="1388"/>
      <c r="O54" s="360"/>
      <c r="P54" s="389"/>
      <c r="Q54" s="1353"/>
      <c r="R54" s="389"/>
      <c r="S54" s="1331"/>
      <c r="T54" s="1334" t="s">
        <v>489</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279</v>
      </c>
      <c r="B55" s="1384"/>
      <c r="C55" s="1384"/>
      <c r="D55" s="1384"/>
      <c r="E55" s="2298"/>
      <c r="F55" s="1384"/>
      <c r="G55" s="1384"/>
      <c r="H55" s="1384"/>
      <c r="I55" s="1384"/>
      <c r="J55" s="1384"/>
      <c r="K55" s="1384"/>
      <c r="L55" s="1390"/>
      <c r="M55" s="1388"/>
      <c r="N55" s="1388"/>
      <c r="O55" s="360"/>
      <c r="P55" s="389"/>
      <c r="Q55" s="1353"/>
      <c r="R55" s="389"/>
      <c r="S55" s="1331"/>
      <c r="T55" s="1334" t="s">
        <v>489</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521</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82</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D5739-7BA9-3DBB-9F4D-0.8B4D638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204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470</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471</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554</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555</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475</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476</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66</v>
      </c>
      <c r="AB8" s="1743"/>
      <c r="AC8" s="1468" t="s">
        <v>66</v>
      </c>
      <c r="AD8" s="2194" t="s">
        <v>66</v>
      </c>
      <c r="AE8" s="2335"/>
      <c r="AF8" s="2214">
        <v>1</v>
      </c>
      <c r="AG8" s="2372"/>
      <c r="AH8" s="2116" t="s">
        <v>66</v>
      </c>
      <c r="AI8" s="2335"/>
      <c r="AJ8" s="2214">
        <v>1</v>
      </c>
      <c r="AK8" s="2336" t="s">
        <v>22</v>
      </c>
      <c r="AL8" s="2116" t="s">
        <v>66</v>
      </c>
      <c r="AM8" s="2201"/>
      <c r="AN8" s="2214">
        <v>1</v>
      </c>
      <c r="AO8" s="2366"/>
      <c r="AP8" s="2367" t="s">
        <v>66</v>
      </c>
      <c r="AQ8" s="320"/>
      <c r="AR8" s="1472">
        <v>1</v>
      </c>
      <c r="AS8" s="1475" t="s">
        <v>22</v>
      </c>
      <c r="AT8" s="760"/>
      <c r="AU8" s="1266"/>
      <c r="AV8" s="760"/>
      <c r="AW8" s="1266"/>
      <c r="AX8" s="1743"/>
      <c r="AY8" s="1468" t="s">
        <v>66</v>
      </c>
      <c r="AZ8" s="1743"/>
      <c r="BA8" s="1468" t="s">
        <v>66</v>
      </c>
      <c r="BB8" s="1357"/>
      <c r="BC8" s="2262" t="s">
        <v>574</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575</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576</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577</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578</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541</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488</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489</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66</v>
      </c>
      <c r="AZ20" s="1745"/>
      <c r="BA20" s="1469" t="s">
        <v>66</v>
      </c>
      <c r="BI20" s="1164">
        <v>0</v>
      </c>
    </row>
    <row customHeight="1" ht="14.25" hidden="1">
      <c r="BD21" s="505"/>
      <c r="BE21" s="505"/>
      <c r="BF21" s="505"/>
      <c r="BG21" s="505"/>
      <c r="BH21" s="505"/>
      <c r="BI21" s="1164">
        <v>0</v>
      </c>
    </row>
    <row customHeight="1" ht="14.25" hidden="1">
      <c r="O22" s="1376" t="s">
        <v>490</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491</v>
      </c>
      <c r="P24" s="1517"/>
      <c r="Q24" s="1519"/>
      <c r="R24" s="1519"/>
      <c r="AA24" s="1516" t="s">
        <v>493</v>
      </c>
      <c r="AC24" s="1516" t="s">
        <v>494</v>
      </c>
      <c r="AD24" s="1516" t="s">
        <v>542</v>
      </c>
      <c r="AH24" s="1516" t="s">
        <v>542</v>
      </c>
      <c r="AK24" s="1516" t="s">
        <v>579</v>
      </c>
      <c r="AL24" s="1516" t="s">
        <v>542</v>
      </c>
      <c r="AP24" s="1516" t="s">
        <v>542</v>
      </c>
      <c r="AY24" s="1516" t="s">
        <v>493</v>
      </c>
      <c r="BA24" s="1516" t="s">
        <v>494</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"СамРЭК-Тепло Жигулевск"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496</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497</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496</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497</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500</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500</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373</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374</v>
      </c>
      <c r="BI40" s="1164">
        <v>14</v>
      </c>
    </row>
    <row customHeight="1" ht="14.699999999999998">
      <c r="Q41" s="300"/>
      <c r="R41" s="385"/>
      <c r="S41" s="2282" t="s">
        <v>88</v>
      </c>
      <c r="T41" s="2218" t="s">
        <v>580</v>
      </c>
      <c r="U41" s="310"/>
      <c r="V41" s="2283" t="s">
        <v>502</v>
      </c>
      <c r="W41" s="2284"/>
      <c r="X41" s="2284"/>
      <c r="Y41" s="2284"/>
      <c r="Z41" s="2284"/>
      <c r="AA41" s="2284"/>
      <c r="AB41" s="2285"/>
      <c r="AC41" s="2286" t="s">
        <v>503</v>
      </c>
      <c r="AD41" s="2337" t="s">
        <v>581</v>
      </c>
      <c r="AE41" s="2300"/>
      <c r="AF41" s="2300"/>
      <c r="AG41" s="2338"/>
      <c r="AH41" s="2337" t="s">
        <v>582</v>
      </c>
      <c r="AI41" s="2300"/>
      <c r="AJ41" s="2300"/>
      <c r="AK41" s="2338"/>
      <c r="AL41" s="2337" t="s">
        <v>583</v>
      </c>
      <c r="AM41" s="2300"/>
      <c r="AN41" s="2300"/>
      <c r="AO41" s="2338"/>
      <c r="AP41" s="2337" t="s">
        <v>584</v>
      </c>
      <c r="AQ41" s="2300"/>
      <c r="AR41" s="2300"/>
      <c r="AS41" s="2338"/>
      <c r="AT41" s="2283" t="s">
        <v>502</v>
      </c>
      <c r="AU41" s="2284"/>
      <c r="AV41" s="2284"/>
      <c r="AW41" s="2284"/>
      <c r="AX41" s="2284"/>
      <c r="AY41" s="2284"/>
      <c r="AZ41" s="2285"/>
      <c r="BA41" s="2286" t="s">
        <v>503</v>
      </c>
      <c r="BB41" s="2289" t="s">
        <v>505</v>
      </c>
      <c r="BC41" s="2136"/>
      <c r="BI41" s="1164">
        <v>14</v>
      </c>
    </row>
    <row customHeight="1" ht="35.699999999999996">
      <c r="Q42" s="300"/>
      <c r="R42" s="385"/>
      <c r="S42" s="2282"/>
      <c r="T42" s="2218"/>
      <c r="U42" s="1040"/>
      <c r="V42" s="2201" t="s">
        <v>585</v>
      </c>
      <c r="W42" s="2202"/>
      <c r="X42" s="2201" t="s">
        <v>586</v>
      </c>
      <c r="Y42" s="2202"/>
      <c r="Z42" s="2303" t="s">
        <v>587</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585</v>
      </c>
      <c r="AU42" s="2202"/>
      <c r="AV42" s="2201" t="s">
        <v>586</v>
      </c>
      <c r="AW42" s="2202"/>
      <c r="AX42" s="2303" t="s">
        <v>587</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216</v>
      </c>
      <c r="C44" s="1379" t="s">
        <v>217</v>
      </c>
      <c r="D44" s="1379" t="s">
        <v>218</v>
      </c>
      <c r="E44" s="1373" t="s">
        <v>510</v>
      </c>
      <c r="F44" s="1373" t="s">
        <v>511</v>
      </c>
      <c r="G44" s="1373" t="s">
        <v>512</v>
      </c>
      <c r="H44" s="1373" t="s">
        <v>513</v>
      </c>
      <c r="I44" s="1373" t="s">
        <v>514</v>
      </c>
      <c r="J44" s="1373" t="s">
        <v>515</v>
      </c>
      <c r="K44" s="1373" t="s">
        <v>516</v>
      </c>
      <c r="L44" s="1373" t="s">
        <v>491</v>
      </c>
      <c r="Q44" s="300"/>
      <c r="R44" s="385"/>
      <c r="S44" s="2282"/>
      <c r="T44" s="2218"/>
      <c r="U44" s="311"/>
      <c r="V44" s="1457" t="s">
        <v>551</v>
      </c>
      <c r="W44" s="1457" t="s">
        <v>552</v>
      </c>
      <c r="X44" s="1457" t="s">
        <v>551</v>
      </c>
      <c r="Y44" s="1457" t="s">
        <v>552</v>
      </c>
      <c r="Z44" s="1464" t="s">
        <v>519</v>
      </c>
      <c r="AA44" s="2279" t="s">
        <v>520</v>
      </c>
      <c r="AB44" s="2280"/>
      <c r="AC44" s="2288"/>
      <c r="AD44" s="2342"/>
      <c r="AE44" s="2343"/>
      <c r="AF44" s="2343"/>
      <c r="AG44" s="2344"/>
      <c r="AH44" s="2342"/>
      <c r="AI44" s="2343"/>
      <c r="AJ44" s="2343"/>
      <c r="AK44" s="2344"/>
      <c r="AL44" s="2342"/>
      <c r="AM44" s="2343"/>
      <c r="AN44" s="2343"/>
      <c r="AO44" s="2344"/>
      <c r="AP44" s="2342"/>
      <c r="AQ44" s="2343"/>
      <c r="AR44" s="2343"/>
      <c r="AS44" s="2344"/>
      <c r="AT44" s="1457" t="s">
        <v>551</v>
      </c>
      <c r="AU44" s="1457" t="s">
        <v>552</v>
      </c>
      <c r="AV44" s="1457" t="s">
        <v>551</v>
      </c>
      <c r="AW44" s="1457" t="s">
        <v>552</v>
      </c>
      <c r="AX44" s="1464" t="s">
        <v>519</v>
      </c>
      <c r="AY44" s="2279" t="s">
        <v>520</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319</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204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319</v>
      </c>
      <c r="B47" s="1372" t="s">
        <v>320</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470</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471</v>
      </c>
      <c r="BE47" s="509"/>
      <c r="BF47" s="509" t="str">
        <f>IF(T47="","",T47)</f>
        <v>Территория действия тарифа</v>
      </c>
      <c r="BG47" s="509"/>
      <c r="BH47" s="509"/>
      <c r="BI47" s="1164">
        <v>21</v>
      </c>
    </row>
    <row customHeight="1" ht="43.050000000000004">
      <c r="A48" s="1372" t="s">
        <v>319</v>
      </c>
      <c r="B48" s="1372" t="s">
        <v>320</v>
      </c>
      <c r="C48" s="1372" t="s">
        <v>321</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554</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555</v>
      </c>
      <c r="BE48" s="509"/>
      <c r="BF48" s="509" t="str">
        <f>IF(T48="","",T48)</f>
        <v>Наименование централизованной системы холодного водоснабжения</v>
      </c>
      <c r="BG48" s="509"/>
      <c r="BH48" s="509"/>
      <c r="BI48" s="1164">
        <v>41</v>
      </c>
    </row>
    <row s="1651" customFormat="1" customHeight="1" ht="0">
      <c r="A49" s="1352" t="s">
        <v>319</v>
      </c>
      <c r="B49" s="1352" t="s">
        <v>320</v>
      </c>
      <c r="C49" s="1352" t="s">
        <v>321</v>
      </c>
      <c r="D49" s="1352" t="s">
        <v>588</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475</v>
      </c>
      <c r="BE49" s="509"/>
      <c r="BF49" s="509" t="str">
        <f>IF(T49="","",T49)</f>
        <v/>
      </c>
      <c r="BG49" s="509"/>
      <c r="BH49" s="509"/>
      <c r="BI49" s="520">
        <v>0</v>
      </c>
    </row>
    <row s="1651" customFormat="1" customHeight="1" ht="0">
      <c r="A50" s="1352" t="s">
        <v>319</v>
      </c>
      <c r="B50" s="1352" t="s">
        <v>320</v>
      </c>
      <c r="C50" s="1352" t="s">
        <v>321</v>
      </c>
      <c r="D50" s="1352" t="s">
        <v>588</v>
      </c>
      <c r="E50" s="2268"/>
      <c r="F50" s="2268"/>
      <c r="G50" s="2268"/>
      <c r="H50" s="2268"/>
      <c r="I50" s="2265" t="str">
        <f>S49&amp;".1"</f>
        <v>.1</v>
      </c>
      <c r="J50" s="1352"/>
      <c r="K50" s="1352"/>
      <c r="L50" s="1355" t="s">
        <v>476</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319</v>
      </c>
      <c r="B51" s="1352" t="s">
        <v>320</v>
      </c>
      <c r="C51" s="1352" t="s">
        <v>321</v>
      </c>
      <c r="D51" s="1352" t="s">
        <v>588</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319</v>
      </c>
      <c r="B52" s="1372" t="s">
        <v>320</v>
      </c>
      <c r="C52" s="1372" t="s">
        <v>321</v>
      </c>
      <c r="D52" s="1372" t="s">
        <v>588</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66</v>
      </c>
      <c r="AB52" s="1743"/>
      <c r="AC52" s="146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72">
        <v>1</v>
      </c>
      <c r="AS52" s="1475" t="s">
        <v>22</v>
      </c>
      <c r="AT52" s="760"/>
      <c r="AU52" s="1266"/>
      <c r="AV52" s="760"/>
      <c r="AW52" s="1266"/>
      <c r="AX52" s="1743"/>
      <c r="AY52" s="1468" t="s">
        <v>66</v>
      </c>
      <c r="AZ52" s="1743"/>
      <c r="BA52" s="1468" t="s">
        <v>66</v>
      </c>
      <c r="BB52" s="1357"/>
      <c r="BC52" s="2262" t="s">
        <v>574</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575</v>
      </c>
      <c r="AT53" s="1402"/>
      <c r="AU53" s="1505"/>
      <c r="AV53" s="1402"/>
      <c r="AW53" s="1505"/>
      <c r="AX53" s="1402"/>
      <c r="AY53" s="1402"/>
      <c r="AZ53" s="1402"/>
      <c r="BA53" s="1402"/>
      <c r="BB53" s="1406"/>
      <c r="BC53" s="2263"/>
      <c r="BE53" s="509"/>
      <c r="BF53" s="509"/>
      <c r="BG53" s="509"/>
      <c r="BH53" s="509"/>
      <c r="BI53" s="1164">
        <v>11</v>
      </c>
    </row>
    <row customHeight="1" ht="11.549999999999999">
      <c r="A54" s="1372" t="s">
        <v>319</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576</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319</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577</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319</v>
      </c>
      <c r="B56" s="1372" t="s">
        <v>320</v>
      </c>
      <c r="C56" s="1372" t="s">
        <v>321</v>
      </c>
      <c r="D56" s="1372" t="s">
        <v>588</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578</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319</v>
      </c>
      <c r="B57" s="1372" t="s">
        <v>320</v>
      </c>
      <c r="C57" s="1372" t="s">
        <v>321</v>
      </c>
      <c r="D57" s="1372" t="s">
        <v>588</v>
      </c>
      <c r="E57" s="2268"/>
      <c r="F57" s="2268"/>
      <c r="G57" s="2268"/>
      <c r="H57" s="2268"/>
      <c r="I57" s="2295"/>
      <c r="J57" s="2265"/>
      <c r="K57" s="1372"/>
      <c r="L57" s="1373"/>
      <c r="P57" s="2266"/>
      <c r="Q57" s="2266"/>
      <c r="R57" s="365"/>
      <c r="S57" s="1287"/>
      <c r="T57" s="296" t="s">
        <v>541</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319</v>
      </c>
      <c r="B58" s="1352" t="s">
        <v>320</v>
      </c>
      <c r="C58" s="1352" t="s">
        <v>321</v>
      </c>
      <c r="D58" s="1352" t="s">
        <v>588</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319</v>
      </c>
      <c r="B59" s="1352" t="s">
        <v>320</v>
      </c>
      <c r="C59" s="1352" t="s">
        <v>321</v>
      </c>
      <c r="D59" s="1352" t="s">
        <v>588</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319</v>
      </c>
      <c r="B60" s="1352" t="s">
        <v>320</v>
      </c>
      <c r="C60" s="1352" t="s">
        <v>321</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319</v>
      </c>
      <c r="B61" s="1352" t="s">
        <v>320</v>
      </c>
      <c r="C61" s="1323"/>
      <c r="D61" s="1323"/>
      <c r="E61" s="2268"/>
      <c r="F61" s="2267"/>
      <c r="G61" s="1323"/>
      <c r="H61" s="1323"/>
      <c r="I61" s="1323"/>
      <c r="J61" s="1323"/>
      <c r="K61" s="1323"/>
      <c r="L61" s="1473"/>
      <c r="M61" s="1330"/>
      <c r="N61" s="1330"/>
      <c r="P61" s="1325"/>
      <c r="Q61" s="1326"/>
      <c r="R61" s="1325"/>
      <c r="S61" s="1331"/>
      <c r="T61" s="1334" t="s">
        <v>488</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319</v>
      </c>
      <c r="B62" s="1352"/>
      <c r="C62" s="1352"/>
      <c r="D62" s="1352"/>
      <c r="E62" s="2267"/>
      <c r="F62" s="1352"/>
      <c r="G62" s="1352"/>
      <c r="H62" s="1352"/>
      <c r="I62" s="1352"/>
      <c r="J62" s="1352"/>
      <c r="K62" s="1352"/>
      <c r="L62" s="1355"/>
      <c r="M62" s="1330"/>
      <c r="N62" s="1330"/>
      <c r="O62" s="527"/>
      <c r="P62" s="389"/>
      <c r="Q62" s="1353"/>
      <c r="R62" s="389"/>
      <c r="S62" s="1331"/>
      <c r="T62" s="1334" t="s">
        <v>489</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521</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7BD2A1-4B6D-61AC-C59B-0.78797C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204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589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590</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556</v>
      </c>
      <c r="U5" s="309"/>
      <c r="V5" s="2359"/>
      <c r="W5" s="2360"/>
      <c r="X5" s="2360"/>
      <c r="Y5" s="2360"/>
      <c r="Z5" s="2360"/>
      <c r="AA5" s="2360"/>
      <c r="AB5" s="2361"/>
      <c r="AC5" s="2362"/>
      <c r="AD5" s="2363"/>
      <c r="AE5" s="2363"/>
      <c r="AF5" s="2363"/>
      <c r="AG5" s="2363"/>
      <c r="AH5" s="2363"/>
      <c r="AI5" s="2363"/>
      <c r="AJ5" s="2364"/>
      <c r="AK5" s="1267" t="s">
        <v>557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479</v>
      </c>
      <c r="P6" s="2266"/>
      <c r="Q6" s="2266">
        <v>1</v>
      </c>
      <c r="R6" s="366"/>
      <c r="S6" s="1502">
        <f>$J6</f>
      </c>
      <c r="T6" s="295" t="s">
        <v>480</v>
      </c>
      <c r="U6" s="309"/>
      <c r="V6" s="2254"/>
      <c r="W6" s="2255"/>
      <c r="X6" s="2255"/>
      <c r="Y6" s="2255"/>
      <c r="Z6" s="2255"/>
      <c r="AA6" s="2255"/>
      <c r="AB6" s="2256"/>
      <c r="AC6" s="2254"/>
      <c r="AD6" s="2255"/>
      <c r="AE6" s="2255"/>
      <c r="AF6" s="2255"/>
      <c r="AG6" s="2255"/>
      <c r="AH6" s="2255"/>
      <c r="AI6" s="2255"/>
      <c r="AJ6" s="2256"/>
      <c r="AK6" s="1316" t="s">
        <v>558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376"/>
      <c r="X9" s="376"/>
      <c r="Y9" s="376"/>
      <c r="Z9" s="376"/>
      <c r="AA9" s="376"/>
      <c r="AB9" s="376"/>
      <c r="AC9" s="376"/>
      <c r="AD9" s="376"/>
      <c r="AE9" s="376"/>
      <c r="AF9" s="376"/>
      <c r="AG9" s="376"/>
      <c r="AH9" s="376"/>
      <c r="AI9" s="376"/>
      <c r="AJ9" s="376"/>
      <c r="AK9" s="1267" t="s">
        <v>560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491</v>
      </c>
      <c r="P20" s="1371"/>
      <c r="Q20" s="1451"/>
      <c r="R20" s="1451"/>
      <c r="S20" s="738"/>
      <c r="T20" s="1169" t="s">
        <v>492</v>
      </c>
      <c r="Z20" s="195" t="s">
        <v>493</v>
      </c>
      <c r="AB20" s="195" t="s">
        <v>494</v>
      </c>
      <c r="AC20" s="1169" t="s">
        <v>492</v>
      </c>
      <c r="AG20" s="195" t="s">
        <v>495</v>
      </c>
      <c r="AI20" s="195" t="s">
        <v>494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500</v>
      </c>
      <c r="AC34" s="335"/>
      <c r="AD34" s="335"/>
      <c r="AE34" s="335"/>
      <c r="AF34" s="335"/>
      <c r="AG34" s="335"/>
      <c r="AH34" s="335"/>
      <c r="AI34" s="287" t="s">
        <v>500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t="s">
        <v>374</v>
      </c>
      <c r="AQ36" s="1164">
        <v>14</v>
      </c>
    </row>
    <row customHeight="1" ht="14.699999999999998">
      <c r="Q37" s="385"/>
      <c r="R37" s="385"/>
      <c r="S37" s="2282" t="s">
        <v>88</v>
      </c>
      <c r="T37" s="2218" t="s">
        <v>501</v>
      </c>
      <c r="U37" s="310"/>
      <c r="V37" s="2283" t="s">
        <v>502</v>
      </c>
      <c r="W37" s="2284"/>
      <c r="X37" s="2284"/>
      <c r="Y37" s="2284"/>
      <c r="Z37" s="2284"/>
      <c r="AA37" s="2285"/>
      <c r="AB37" s="2286" t="s">
        <v>503</v>
      </c>
      <c r="AC37" s="2283" t="s">
        <v>502</v>
      </c>
      <c r="AD37" s="2284"/>
      <c r="AE37" s="2284"/>
      <c r="AF37" s="2284"/>
      <c r="AG37" s="2284"/>
      <c r="AH37" s="2285"/>
      <c r="AI37" s="2286" t="s">
        <v>504</v>
      </c>
      <c r="AJ37" s="2289" t="s">
        <v>505</v>
      </c>
      <c r="AK37" s="2136"/>
      <c r="AQ37" s="1164">
        <v>14</v>
      </c>
    </row>
    <row customHeight="1" ht="35.699999999999996">
      <c r="Q38" s="385"/>
      <c r="R38" s="385"/>
      <c r="S38" s="2282"/>
      <c r="T38" s="2218"/>
      <c r="U38" s="1040"/>
      <c r="V38" s="1492" t="s">
        <v>562</v>
      </c>
      <c r="W38" s="2271" t="s">
        <v>508</v>
      </c>
      <c r="X38" s="2272"/>
      <c r="Y38" s="2271" t="s">
        <v>509</v>
      </c>
      <c r="Z38" s="2278"/>
      <c r="AA38" s="2272"/>
      <c r="AB38" s="2287"/>
      <c r="AC38" s="1492" t="s">
        <v>562</v>
      </c>
      <c r="AD38" s="2271" t="s">
        <v>508</v>
      </c>
      <c r="AE38" s="2272"/>
      <c r="AF38" s="2271" t="s">
        <v>509</v>
      </c>
      <c r="AG38" s="2278"/>
      <c r="AH38" s="2272"/>
      <c r="AI38" s="2287"/>
      <c r="AJ38" s="2290"/>
      <c r="AK38" s="2136"/>
      <c r="AQ38" s="1164">
        <v>34</v>
      </c>
    </row>
    <row customHeight="1" ht="90.3">
      <c r="A39" s="1379"/>
      <c r="B39" s="1379" t="s">
        <v>216</v>
      </c>
      <c r="C39" s="1379" t="s">
        <v>217</v>
      </c>
      <c r="D39" s="1379" t="s">
        <v>218</v>
      </c>
      <c r="E39" s="1373" t="s">
        <v>510</v>
      </c>
      <c r="F39" s="1373" t="s">
        <v>511</v>
      </c>
      <c r="G39" s="1373" t="s">
        <v>512</v>
      </c>
      <c r="H39" s="1373"/>
      <c r="I39" s="1373" t="s">
        <v>563</v>
      </c>
      <c r="J39" s="1373" t="s">
        <v>515</v>
      </c>
      <c r="K39" s="1373" t="s">
        <v>564</v>
      </c>
      <c r="L39" s="1373" t="s">
        <v>491</v>
      </c>
      <c r="Q39" s="385"/>
      <c r="R39" s="385"/>
      <c r="S39" s="2282"/>
      <c r="T39" s="2218"/>
      <c r="U39" s="311"/>
      <c r="V39" s="1492" t="s">
        <v>591</v>
      </c>
      <c r="W39" s="1231" t="s">
        <v>592</v>
      </c>
      <c r="X39" s="1231" t="s">
        <v>567</v>
      </c>
      <c r="Y39" s="1498" t="s">
        <v>519</v>
      </c>
      <c r="Z39" s="2279" t="s">
        <v>520</v>
      </c>
      <c r="AA39" s="2280"/>
      <c r="AB39" s="2288"/>
      <c r="AC39" s="1492" t="s">
        <v>591</v>
      </c>
      <c r="AD39" s="1231" t="s">
        <v>592</v>
      </c>
      <c r="AE39" s="1231" t="s">
        <v>567</v>
      </c>
      <c r="AF39" s="1498" t="s">
        <v>519</v>
      </c>
      <c r="AG39" s="2279" t="s">
        <v>520</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339</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204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339</v>
      </c>
      <c r="B42" s="1372" t="s">
        <v>340</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471</v>
      </c>
      <c r="AM42" s="509"/>
      <c r="AN42" s="509" t="str">
        <f>IF(T42="","",T42)</f>
        <v>Территория действия тарифа</v>
      </c>
      <c r="AO42" s="509"/>
      <c r="AP42" s="509"/>
      <c r="AQ42" s="1164">
        <v>23</v>
      </c>
    </row>
    <row customHeight="1" ht="24">
      <c r="A43" s="1372" t="s">
        <v>339</v>
      </c>
      <c r="B43" s="1372" t="s">
        <v>340</v>
      </c>
      <c r="C43" s="1372" t="s">
        <v>341</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589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590</v>
      </c>
      <c r="AM43" s="509"/>
      <c r="AN43" s="509" t="str">
        <f>IF(T43="","",T43)</f>
        <v>Наименование централизованной системы водоотведения</v>
      </c>
      <c r="AO43" s="509"/>
      <c r="AP43" s="509"/>
      <c r="AQ43" s="1164">
        <v>23</v>
      </c>
    </row>
    <row customHeight="1" ht="24">
      <c r="A44" s="1372" t="s">
        <v>339</v>
      </c>
      <c r="B44" s="1372" t="s">
        <v>340</v>
      </c>
      <c r="C44" s="1372" t="s">
        <v>341</v>
      </c>
      <c r="D44" s="1372" t="s">
        <v>593</v>
      </c>
      <c r="E44" s="2268"/>
      <c r="F44" s="2268"/>
      <c r="G44" s="2268"/>
      <c r="H44" s="2268"/>
      <c r="I44" s="2265" t="str">
        <f>S43&amp;".1"</f>
        <v>...1</v>
      </c>
      <c r="J44" s="1372"/>
      <c r="K44" s="1372"/>
      <c r="L44" s="1373"/>
      <c r="P44" s="2266">
        <v>1</v>
      </c>
      <c r="Q44" s="1490"/>
      <c r="R44" s="365"/>
      <c r="S44" s="1502" t="str">
        <f>$I44</f>
        <v>...1</v>
      </c>
      <c r="T44" s="294" t="s">
        <v>556</v>
      </c>
      <c r="U44" s="309"/>
      <c r="V44" s="2359"/>
      <c r="W44" s="2360"/>
      <c r="X44" s="2360"/>
      <c r="Y44" s="2360"/>
      <c r="Z44" s="2360"/>
      <c r="AA44" s="2360"/>
      <c r="AB44" s="2361"/>
      <c r="AC44" s="2362"/>
      <c r="AD44" s="2363"/>
      <c r="AE44" s="2363"/>
      <c r="AF44" s="2363"/>
      <c r="AG44" s="2363"/>
      <c r="AH44" s="2363"/>
      <c r="AI44" s="2363"/>
      <c r="AJ44" s="2364"/>
      <c r="AK44" s="1267" t="s">
        <v>557</v>
      </c>
      <c r="AM44" s="509"/>
      <c r="AN44" s="509" t="str">
        <f>IF(T44="","",T44)</f>
        <v>Наименование признака дифференциации</v>
      </c>
      <c r="AO44" s="509"/>
      <c r="AP44" s="509"/>
      <c r="AQ44" s="1164">
        <v>23</v>
      </c>
    </row>
    <row customHeight="1" ht="24">
      <c r="A45" s="1372" t="s">
        <v>339</v>
      </c>
      <c r="B45" s="1372" t="s">
        <v>340</v>
      </c>
      <c r="C45" s="1372" t="s">
        <v>341</v>
      </c>
      <c r="D45" s="1372" t="s">
        <v>593</v>
      </c>
      <c r="E45" s="2268"/>
      <c r="F45" s="2268"/>
      <c r="G45" s="2268"/>
      <c r="H45" s="2268"/>
      <c r="I45" s="2295"/>
      <c r="J45" s="2265" t="str">
        <f>I44&amp;".1"</f>
        <v>...1.1</v>
      </c>
      <c r="K45" s="1372"/>
      <c r="L45" s="1373" t="s">
        <v>479</v>
      </c>
      <c r="P45" s="2266"/>
      <c r="Q45" s="2266">
        <v>1</v>
      </c>
      <c r="R45" s="366"/>
      <c r="S45" s="1502" t="str">
        <f>$J45</f>
        <v>...1.1</v>
      </c>
      <c r="T45" s="295" t="s">
        <v>480</v>
      </c>
      <c r="U45" s="309"/>
      <c r="V45" s="2254"/>
      <c r="W45" s="2255"/>
      <c r="X45" s="2255"/>
      <c r="Y45" s="2255"/>
      <c r="Z45" s="2255"/>
      <c r="AA45" s="2255"/>
      <c r="AB45" s="2256"/>
      <c r="AC45" s="2254"/>
      <c r="AD45" s="2255"/>
      <c r="AE45" s="2255"/>
      <c r="AF45" s="2255"/>
      <c r="AG45" s="2255"/>
      <c r="AH45" s="2255"/>
      <c r="AI45" s="2255"/>
      <c r="AJ45" s="2256"/>
      <c r="AK45" s="1316" t="s">
        <v>558</v>
      </c>
      <c r="AM45" s="509"/>
      <c r="AN45" s="509" t="str">
        <f>IF(T45="","",T45)</f>
        <v>Группа потребителей</v>
      </c>
      <c r="AO45" s="509"/>
      <c r="AP45" s="509"/>
      <c r="AQ45" s="1164">
        <v>23</v>
      </c>
    </row>
    <row customHeight="1" ht="24">
      <c r="A46" s="1372" t="s">
        <v>339</v>
      </c>
      <c r="B46" s="1372" t="s">
        <v>340</v>
      </c>
      <c r="C46" s="1372" t="s">
        <v>341</v>
      </c>
      <c r="D46" s="1372" t="s">
        <v>593</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339</v>
      </c>
      <c r="B47" s="1372" t="s">
        <v>340</v>
      </c>
      <c r="C47" s="1372" t="s">
        <v>341</v>
      </c>
      <c r="D47" s="1372" t="s">
        <v>593</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339</v>
      </c>
      <c r="B48" s="1372" t="s">
        <v>340</v>
      </c>
      <c r="C48" s="1372" t="s">
        <v>341</v>
      </c>
      <c r="D48" s="1372" t="s">
        <v>593</v>
      </c>
      <c r="E48" s="2268"/>
      <c r="F48" s="2268"/>
      <c r="G48" s="2268"/>
      <c r="H48" s="2268"/>
      <c r="I48" s="2295"/>
      <c r="J48" s="2265"/>
      <c r="K48" s="1372"/>
      <c r="L48" s="1373"/>
      <c r="P48" s="2266"/>
      <c r="Q48" s="2266"/>
      <c r="R48" s="365"/>
      <c r="S48" s="1287"/>
      <c r="T48" s="296" t="s">
        <v>559</v>
      </c>
      <c r="U48" s="376"/>
      <c r="V48" s="376"/>
      <c r="W48" s="376"/>
      <c r="X48" s="376"/>
      <c r="Y48" s="376"/>
      <c r="Z48" s="376"/>
      <c r="AA48" s="376"/>
      <c r="AB48" s="376"/>
      <c r="AC48" s="376"/>
      <c r="AD48" s="376"/>
      <c r="AE48" s="376"/>
      <c r="AF48" s="376"/>
      <c r="AG48" s="376"/>
      <c r="AH48" s="376"/>
      <c r="AI48" s="376"/>
      <c r="AJ48" s="376"/>
      <c r="AK48" s="1267" t="s">
        <v>560</v>
      </c>
      <c r="AM48" s="509"/>
      <c r="AN48" s="509" t="str">
        <f>IF(T48="","",T48)</f>
        <v>Добавить значение признака дифференциации</v>
      </c>
      <c r="AO48" s="509"/>
      <c r="AP48" s="509"/>
      <c r="AQ48" s="1164">
        <v>20</v>
      </c>
    </row>
    <row customHeight="1" ht="22.049999999999997">
      <c r="A49" s="1372" t="s">
        <v>339</v>
      </c>
      <c r="B49" s="1372" t="s">
        <v>340</v>
      </c>
      <c r="C49" s="1372" t="s">
        <v>341</v>
      </c>
      <c r="D49" s="1372" t="s">
        <v>593</v>
      </c>
      <c r="E49" s="2268"/>
      <c r="F49" s="2268"/>
      <c r="G49" s="2268"/>
      <c r="H49" s="2268"/>
      <c r="I49" s="2265"/>
      <c r="J49" s="1372"/>
      <c r="K49" s="1372"/>
      <c r="L49" s="1373"/>
      <c r="P49" s="2266"/>
      <c r="Q49" s="1490"/>
      <c r="R49" s="365"/>
      <c r="S49" s="1287"/>
      <c r="T49" s="374" t="s">
        <v>485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339</v>
      </c>
      <c r="B50" s="1372" t="s">
        <v>340</v>
      </c>
      <c r="C50" s="1372" t="s">
        <v>341</v>
      </c>
      <c r="D50" s="1372" t="s">
        <v>593</v>
      </c>
      <c r="E50" s="2268"/>
      <c r="F50" s="2268"/>
      <c r="G50" s="2268"/>
      <c r="H50" s="2267"/>
      <c r="I50" s="1372"/>
      <c r="J50" s="1372"/>
      <c r="K50" s="1372"/>
      <c r="L50" s="1373"/>
      <c r="M50" s="1374"/>
      <c r="N50" s="1374"/>
      <c r="O50" s="546"/>
      <c r="P50" s="369"/>
      <c r="Q50" s="384"/>
      <c r="R50" s="364"/>
      <c r="S50" s="1287"/>
      <c r="T50" s="381" t="s">
        <v>561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339</v>
      </c>
      <c r="B51" s="1352" t="s">
        <v>340</v>
      </c>
      <c r="C51" s="1323"/>
      <c r="D51" s="1323"/>
      <c r="E51" s="2268"/>
      <c r="F51" s="2267"/>
      <c r="G51" s="1323"/>
      <c r="H51" s="1323"/>
      <c r="I51" s="1323"/>
      <c r="J51" s="1323"/>
      <c r="K51" s="1323"/>
      <c r="L51" s="1503"/>
      <c r="M51" s="1330"/>
      <c r="N51" s="1330"/>
      <c r="P51" s="1325"/>
      <c r="Q51" s="1326"/>
      <c r="R51" s="1325"/>
      <c r="S51" s="1331"/>
      <c r="T51" s="1334" t="s">
        <v>488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339</v>
      </c>
      <c r="B52" s="1352"/>
      <c r="C52" s="1352"/>
      <c r="D52" s="1352"/>
      <c r="E52" s="2267"/>
      <c r="F52" s="1352"/>
      <c r="G52" s="1352"/>
      <c r="H52" s="1352"/>
      <c r="I52" s="1352"/>
      <c r="J52" s="1352"/>
      <c r="K52" s="1352"/>
      <c r="L52" s="1355"/>
      <c r="M52" s="1330"/>
      <c r="N52" s="1330"/>
      <c r="O52" s="527"/>
      <c r="P52" s="389"/>
      <c r="Q52" s="1353"/>
      <c r="R52" s="389"/>
      <c r="S52" s="1331"/>
      <c r="T52" s="1334" t="s">
        <v>489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521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C2C0A2-5D9B-B56A-9FAC-0.77B2C19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204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470</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471</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589</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590</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556</v>
      </c>
      <c r="U5" s="309"/>
      <c r="V5" s="2359"/>
      <c r="W5" s="2360"/>
      <c r="X5" s="2360"/>
      <c r="Y5" s="2360"/>
      <c r="Z5" s="2360"/>
      <c r="AA5" s="2360"/>
      <c r="AB5" s="2361"/>
      <c r="AC5" s="2362"/>
      <c r="AD5" s="2363"/>
      <c r="AE5" s="2363"/>
      <c r="AF5" s="2363"/>
      <c r="AG5" s="2363"/>
      <c r="AH5" s="2363"/>
      <c r="AI5" s="2363"/>
      <c r="AJ5" s="2364"/>
      <c r="AK5" s="1267" t="s">
        <v>557</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479</v>
      </c>
      <c r="P6" s="2266"/>
      <c r="Q6" s="2266">
        <v>1</v>
      </c>
      <c r="R6" s="366"/>
      <c r="S6" s="1502">
        <f>$J6</f>
      </c>
      <c r="T6" s="295" t="s">
        <v>480</v>
      </c>
      <c r="U6" s="309"/>
      <c r="V6" s="2254"/>
      <c r="W6" s="2255"/>
      <c r="X6" s="2255"/>
      <c r="Y6" s="2255"/>
      <c r="Z6" s="2255"/>
      <c r="AA6" s="2255"/>
      <c r="AB6" s="2256"/>
      <c r="AC6" s="2254"/>
      <c r="AD6" s="2255"/>
      <c r="AE6" s="2255"/>
      <c r="AF6" s="2255"/>
      <c r="AG6" s="2255"/>
      <c r="AH6" s="2255"/>
      <c r="AI6" s="2255"/>
      <c r="AJ6" s="2256"/>
      <c r="AK6" s="1316" t="s">
        <v>558</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66</v>
      </c>
      <c r="AA7" s="2274"/>
      <c r="AB7" s="2116" t="s">
        <v>66</v>
      </c>
      <c r="AC7" s="760"/>
      <c r="AD7" s="760"/>
      <c r="AE7" s="1266"/>
      <c r="AF7" s="2274"/>
      <c r="AG7" s="2116" t="s">
        <v>66</v>
      </c>
      <c r="AH7" s="2296"/>
      <c r="AI7" s="2116" t="s">
        <v>66</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376"/>
      <c r="X9" s="376"/>
      <c r="Y9" s="376"/>
      <c r="Z9" s="376"/>
      <c r="AA9" s="376"/>
      <c r="AB9" s="376"/>
      <c r="AC9" s="376"/>
      <c r="AD9" s="376"/>
      <c r="AE9" s="376"/>
      <c r="AF9" s="376"/>
      <c r="AG9" s="376"/>
      <c r="AH9" s="376"/>
      <c r="AI9" s="376"/>
      <c r="AJ9" s="376"/>
      <c r="AK9" s="1267" t="s">
        <v>560</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485</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66</v>
      </c>
      <c r="AH15" s="2276"/>
      <c r="AI15" s="2277" t="s">
        <v>66</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490</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491</v>
      </c>
      <c r="P20" s="1371"/>
      <c r="Q20" s="1451"/>
      <c r="R20" s="1451"/>
      <c r="S20" s="738"/>
      <c r="T20" s="1169" t="s">
        <v>492</v>
      </c>
      <c r="Z20" s="195" t="s">
        <v>493</v>
      </c>
      <c r="AB20" s="195" t="s">
        <v>494</v>
      </c>
      <c r="AC20" s="1169" t="s">
        <v>492</v>
      </c>
      <c r="AG20" s="195" t="s">
        <v>495</v>
      </c>
      <c r="AI20" s="195" t="s">
        <v>494</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500</v>
      </c>
      <c r="AC34" s="335"/>
      <c r="AD34" s="335"/>
      <c r="AE34" s="335"/>
      <c r="AF34" s="335"/>
      <c r="AG34" s="335"/>
      <c r="AH34" s="335"/>
      <c r="AI34" s="287" t="s">
        <v>500</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t="s">
        <v>374</v>
      </c>
      <c r="AQ36" s="1164">
        <v>14</v>
      </c>
    </row>
    <row customHeight="1" ht="14.699999999999998">
      <c r="Q37" s="385"/>
      <c r="R37" s="385"/>
      <c r="S37" s="2282" t="s">
        <v>88</v>
      </c>
      <c r="T37" s="2218" t="s">
        <v>501</v>
      </c>
      <c r="U37" s="310"/>
      <c r="V37" s="2283" t="s">
        <v>502</v>
      </c>
      <c r="W37" s="2284"/>
      <c r="X37" s="2284"/>
      <c r="Y37" s="2284"/>
      <c r="Z37" s="2284"/>
      <c r="AA37" s="2285"/>
      <c r="AB37" s="2286" t="s">
        <v>503</v>
      </c>
      <c r="AC37" s="2283" t="s">
        <v>502</v>
      </c>
      <c r="AD37" s="2284"/>
      <c r="AE37" s="2284"/>
      <c r="AF37" s="2284"/>
      <c r="AG37" s="2284"/>
      <c r="AH37" s="2285"/>
      <c r="AI37" s="2286" t="s">
        <v>504</v>
      </c>
      <c r="AJ37" s="2289" t="s">
        <v>505</v>
      </c>
      <c r="AK37" s="2136"/>
      <c r="AQ37" s="1164">
        <v>14</v>
      </c>
    </row>
    <row customHeight="1" ht="35.699999999999996">
      <c r="Q38" s="385"/>
      <c r="R38" s="385"/>
      <c r="S38" s="2282"/>
      <c r="T38" s="2218"/>
      <c r="U38" s="1040"/>
      <c r="V38" s="1492" t="s">
        <v>562</v>
      </c>
      <c r="W38" s="2271" t="s">
        <v>508</v>
      </c>
      <c r="X38" s="2272"/>
      <c r="Y38" s="2271" t="s">
        <v>509</v>
      </c>
      <c r="Z38" s="2278"/>
      <c r="AA38" s="2272"/>
      <c r="AB38" s="2287"/>
      <c r="AC38" s="1492" t="s">
        <v>562</v>
      </c>
      <c r="AD38" s="2271" t="s">
        <v>508</v>
      </c>
      <c r="AE38" s="2272"/>
      <c r="AF38" s="2271" t="s">
        <v>509</v>
      </c>
      <c r="AG38" s="2278"/>
      <c r="AH38" s="2272"/>
      <c r="AI38" s="2287"/>
      <c r="AJ38" s="2290"/>
      <c r="AK38" s="2136"/>
      <c r="AQ38" s="1164">
        <v>34</v>
      </c>
    </row>
    <row customHeight="1" ht="90.3">
      <c r="A39" s="1379"/>
      <c r="B39" s="1379" t="s">
        <v>216</v>
      </c>
      <c r="C39" s="1379" t="s">
        <v>217</v>
      </c>
      <c r="D39" s="1379" t="s">
        <v>218</v>
      </c>
      <c r="E39" s="1373" t="s">
        <v>510</v>
      </c>
      <c r="F39" s="1373" t="s">
        <v>511</v>
      </c>
      <c r="G39" s="1373" t="s">
        <v>512</v>
      </c>
      <c r="H39" s="1373"/>
      <c r="I39" s="1373" t="s">
        <v>563</v>
      </c>
      <c r="J39" s="1373" t="s">
        <v>515</v>
      </c>
      <c r="K39" s="1373" t="s">
        <v>564</v>
      </c>
      <c r="L39" s="1373" t="s">
        <v>491</v>
      </c>
      <c r="Q39" s="385"/>
      <c r="R39" s="385"/>
      <c r="S39" s="2282"/>
      <c r="T39" s="2218"/>
      <c r="U39" s="311"/>
      <c r="V39" s="1492" t="s">
        <v>591</v>
      </c>
      <c r="W39" s="1231" t="s">
        <v>592</v>
      </c>
      <c r="X39" s="1231" t="s">
        <v>567</v>
      </c>
      <c r="Y39" s="1498" t="s">
        <v>519</v>
      </c>
      <c r="Z39" s="2279" t="s">
        <v>520</v>
      </c>
      <c r="AA39" s="2280"/>
      <c r="AB39" s="2288"/>
      <c r="AC39" s="1492" t="s">
        <v>591</v>
      </c>
      <c r="AD39" s="1231" t="s">
        <v>592</v>
      </c>
      <c r="AE39" s="1231" t="s">
        <v>567</v>
      </c>
      <c r="AF39" s="1498" t="s">
        <v>519</v>
      </c>
      <c r="AG39" s="2279" t="s">
        <v>520</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344</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204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344</v>
      </c>
      <c r="B42" s="1372" t="s">
        <v>345</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470</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471</v>
      </c>
      <c r="AM42" s="509"/>
      <c r="AN42" s="509" t="str">
        <f>IF(T42="","",T42)</f>
        <v>Территория действия тарифа</v>
      </c>
      <c r="AO42" s="509"/>
      <c r="AP42" s="509"/>
      <c r="AQ42" s="1164">
        <v>23</v>
      </c>
    </row>
    <row customHeight="1" ht="24">
      <c r="A43" s="1372" t="s">
        <v>344</v>
      </c>
      <c r="B43" s="1372" t="s">
        <v>345</v>
      </c>
      <c r="C43" s="1372" t="s">
        <v>346</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589</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590</v>
      </c>
      <c r="AM43" s="509"/>
      <c r="AN43" s="509" t="str">
        <f>IF(T43="","",T43)</f>
        <v>Наименование централизованной системы водоотведения</v>
      </c>
      <c r="AO43" s="509"/>
      <c r="AP43" s="509"/>
      <c r="AQ43" s="1164">
        <v>23</v>
      </c>
    </row>
    <row customHeight="1" ht="24">
      <c r="A44" s="1372" t="s">
        <v>344</v>
      </c>
      <c r="B44" s="1372" t="s">
        <v>345</v>
      </c>
      <c r="C44" s="1372" t="s">
        <v>346</v>
      </c>
      <c r="D44" s="1372" t="s">
        <v>594</v>
      </c>
      <c r="E44" s="2268"/>
      <c r="F44" s="2268"/>
      <c r="G44" s="2268"/>
      <c r="H44" s="2268"/>
      <c r="I44" s="2265" t="str">
        <f>S43&amp;".1"</f>
        <v>...1</v>
      </c>
      <c r="J44" s="1372"/>
      <c r="K44" s="1372"/>
      <c r="L44" s="1373"/>
      <c r="P44" s="2266">
        <v>1</v>
      </c>
      <c r="Q44" s="1490"/>
      <c r="R44" s="365"/>
      <c r="S44" s="1502" t="str">
        <f>$I44</f>
        <v>...1</v>
      </c>
      <c r="T44" s="294" t="s">
        <v>556</v>
      </c>
      <c r="U44" s="309"/>
      <c r="V44" s="2359"/>
      <c r="W44" s="2360"/>
      <c r="X44" s="2360"/>
      <c r="Y44" s="2360"/>
      <c r="Z44" s="2360"/>
      <c r="AA44" s="2360"/>
      <c r="AB44" s="2361"/>
      <c r="AC44" s="2362"/>
      <c r="AD44" s="2363"/>
      <c r="AE44" s="2363"/>
      <c r="AF44" s="2363"/>
      <c r="AG44" s="2363"/>
      <c r="AH44" s="2363"/>
      <c r="AI44" s="2363"/>
      <c r="AJ44" s="2364"/>
      <c r="AK44" s="1267" t="s">
        <v>557</v>
      </c>
      <c r="AM44" s="509"/>
      <c r="AN44" s="509" t="str">
        <f>IF(T44="","",T44)</f>
        <v>Наименование признака дифференциации</v>
      </c>
      <c r="AO44" s="509"/>
      <c r="AP44" s="509"/>
      <c r="AQ44" s="1164">
        <v>23</v>
      </c>
    </row>
    <row customHeight="1" ht="24">
      <c r="A45" s="1372" t="s">
        <v>344</v>
      </c>
      <c r="B45" s="1372" t="s">
        <v>345</v>
      </c>
      <c r="C45" s="1372" t="s">
        <v>346</v>
      </c>
      <c r="D45" s="1372" t="s">
        <v>594</v>
      </c>
      <c r="E45" s="2268"/>
      <c r="F45" s="2268"/>
      <c r="G45" s="2268"/>
      <c r="H45" s="2268"/>
      <c r="I45" s="2295"/>
      <c r="J45" s="2265" t="str">
        <f>I44&amp;".1"</f>
        <v>...1.1</v>
      </c>
      <c r="K45" s="1372"/>
      <c r="L45" s="1373" t="s">
        <v>479</v>
      </c>
      <c r="P45" s="2266"/>
      <c r="Q45" s="2266">
        <v>1</v>
      </c>
      <c r="R45" s="366"/>
      <c r="S45" s="1502" t="str">
        <f>$J45</f>
        <v>...1.1</v>
      </c>
      <c r="T45" s="295" t="s">
        <v>480</v>
      </c>
      <c r="U45" s="309"/>
      <c r="V45" s="2254"/>
      <c r="W45" s="2255"/>
      <c r="X45" s="2255"/>
      <c r="Y45" s="2255"/>
      <c r="Z45" s="2255"/>
      <c r="AA45" s="2255"/>
      <c r="AB45" s="2256"/>
      <c r="AC45" s="2254"/>
      <c r="AD45" s="2255"/>
      <c r="AE45" s="2255"/>
      <c r="AF45" s="2255"/>
      <c r="AG45" s="2255"/>
      <c r="AH45" s="2255"/>
      <c r="AI45" s="2255"/>
      <c r="AJ45" s="2256"/>
      <c r="AK45" s="1316" t="s">
        <v>558</v>
      </c>
      <c r="AM45" s="509"/>
      <c r="AN45" s="509" t="str">
        <f>IF(T45="","",T45)</f>
        <v>Группа потребителей</v>
      </c>
      <c r="AO45" s="509"/>
      <c r="AP45" s="509"/>
      <c r="AQ45" s="1164">
        <v>23</v>
      </c>
    </row>
    <row customHeight="1" ht="24">
      <c r="A46" s="1372" t="s">
        <v>344</v>
      </c>
      <c r="B46" s="1372" t="s">
        <v>345</v>
      </c>
      <c r="C46" s="1372" t="s">
        <v>346</v>
      </c>
      <c r="D46" s="1372" t="s">
        <v>594</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66</v>
      </c>
      <c r="AA46" s="2276"/>
      <c r="AB46" s="2277" t="s">
        <v>66</v>
      </c>
      <c r="AC46" s="760"/>
      <c r="AD46" s="760"/>
      <c r="AE46" s="1266"/>
      <c r="AF46" s="2274"/>
      <c r="AG46" s="2116" t="s">
        <v>66</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344</v>
      </c>
      <c r="B47" s="1372" t="s">
        <v>345</v>
      </c>
      <c r="C47" s="1372" t="s">
        <v>346</v>
      </c>
      <c r="D47" s="1372" t="s">
        <v>594</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344</v>
      </c>
      <c r="B48" s="1372" t="s">
        <v>345</v>
      </c>
      <c r="C48" s="1372" t="s">
        <v>346</v>
      </c>
      <c r="D48" s="1372" t="s">
        <v>594</v>
      </c>
      <c r="E48" s="2268"/>
      <c r="F48" s="2268"/>
      <c r="G48" s="2268"/>
      <c r="H48" s="2268"/>
      <c r="I48" s="2295"/>
      <c r="J48" s="2265"/>
      <c r="K48" s="1372"/>
      <c r="L48" s="1373"/>
      <c r="P48" s="2266"/>
      <c r="Q48" s="2266"/>
      <c r="R48" s="365"/>
      <c r="S48" s="1287"/>
      <c r="T48" s="296" t="s">
        <v>559</v>
      </c>
      <c r="U48" s="376"/>
      <c r="V48" s="376"/>
      <c r="W48" s="376"/>
      <c r="X48" s="376"/>
      <c r="Y48" s="376"/>
      <c r="Z48" s="376"/>
      <c r="AA48" s="376"/>
      <c r="AB48" s="376"/>
      <c r="AC48" s="376"/>
      <c r="AD48" s="376"/>
      <c r="AE48" s="376"/>
      <c r="AF48" s="376"/>
      <c r="AG48" s="376"/>
      <c r="AH48" s="376"/>
      <c r="AI48" s="376"/>
      <c r="AJ48" s="376"/>
      <c r="AK48" s="1267" t="s">
        <v>560</v>
      </c>
      <c r="AM48" s="509"/>
      <c r="AN48" s="509" t="str">
        <f>IF(T48="","",T48)</f>
        <v>Добавить значение признака дифференциации</v>
      </c>
      <c r="AO48" s="509"/>
      <c r="AP48" s="509"/>
      <c r="AQ48" s="1164">
        <v>20</v>
      </c>
    </row>
    <row customHeight="1" ht="22.049999999999997">
      <c r="A49" s="1372" t="s">
        <v>344</v>
      </c>
      <c r="B49" s="1372" t="s">
        <v>345</v>
      </c>
      <c r="C49" s="1372" t="s">
        <v>346</v>
      </c>
      <c r="D49" s="1372" t="s">
        <v>594</v>
      </c>
      <c r="E49" s="2268"/>
      <c r="F49" s="2268"/>
      <c r="G49" s="2268"/>
      <c r="H49" s="2268"/>
      <c r="I49" s="2265"/>
      <c r="J49" s="1372"/>
      <c r="K49" s="1372"/>
      <c r="L49" s="1373"/>
      <c r="P49" s="2266"/>
      <c r="Q49" s="1490"/>
      <c r="R49" s="365"/>
      <c r="S49" s="1287"/>
      <c r="T49" s="374" t="s">
        <v>485</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344</v>
      </c>
      <c r="B50" s="1372" t="s">
        <v>345</v>
      </c>
      <c r="C50" s="1372" t="s">
        <v>346</v>
      </c>
      <c r="D50" s="1372" t="s">
        <v>594</v>
      </c>
      <c r="E50" s="2268"/>
      <c r="F50" s="2268"/>
      <c r="G50" s="2268"/>
      <c r="H50" s="2267"/>
      <c r="I50" s="1372"/>
      <c r="J50" s="1372"/>
      <c r="K50" s="1372"/>
      <c r="L50" s="1373"/>
      <c r="M50" s="1374"/>
      <c r="N50" s="1374"/>
      <c r="O50" s="546"/>
      <c r="P50" s="369"/>
      <c r="Q50" s="384"/>
      <c r="R50" s="364"/>
      <c r="S50" s="1287"/>
      <c r="T50" s="381" t="s">
        <v>561</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344</v>
      </c>
      <c r="B51" s="1352" t="s">
        <v>345</v>
      </c>
      <c r="C51" s="1323"/>
      <c r="D51" s="1323"/>
      <c r="E51" s="2268"/>
      <c r="F51" s="2267"/>
      <c r="G51" s="1323"/>
      <c r="H51" s="1323"/>
      <c r="I51" s="1323"/>
      <c r="J51" s="1323"/>
      <c r="K51" s="1323"/>
      <c r="L51" s="1503"/>
      <c r="M51" s="1330"/>
      <c r="N51" s="1330"/>
      <c r="P51" s="1325"/>
      <c r="Q51" s="1326"/>
      <c r="R51" s="1325"/>
      <c r="S51" s="1331"/>
      <c r="T51" s="1334" t="s">
        <v>488</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344</v>
      </c>
      <c r="B52" s="1352"/>
      <c r="C52" s="1352"/>
      <c r="D52" s="1352"/>
      <c r="E52" s="2267"/>
      <c r="F52" s="1352"/>
      <c r="G52" s="1352"/>
      <c r="H52" s="1352"/>
      <c r="I52" s="1352"/>
      <c r="J52" s="1352"/>
      <c r="K52" s="1352"/>
      <c r="L52" s="1355"/>
      <c r="M52" s="1330"/>
      <c r="N52" s="1330"/>
      <c r="O52" s="527"/>
      <c r="P52" s="389"/>
      <c r="Q52" s="1353"/>
      <c r="R52" s="389"/>
      <c r="S52" s="1331"/>
      <c r="T52" s="1334" t="s">
        <v>489</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521</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82</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C9145-A14E-DA3E-12E4-0.92226C4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204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470</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471</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589</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590</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475</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476</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574</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575</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595</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596</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578</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541</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488</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489</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490</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491</v>
      </c>
      <c r="P24" s="1517"/>
      <c r="Q24" s="1519"/>
      <c r="R24" s="1519"/>
      <c r="AA24" s="1516" t="s">
        <v>493</v>
      </c>
      <c r="AC24" s="1516" t="s">
        <v>494</v>
      </c>
      <c r="AD24" s="1516" t="s">
        <v>542</v>
      </c>
      <c r="AH24" s="1516" t="s">
        <v>542</v>
      </c>
      <c r="AK24" s="1516" t="s">
        <v>579</v>
      </c>
      <c r="AL24" s="1516" t="s">
        <v>542</v>
      </c>
      <c r="AP24" s="1516" t="s">
        <v>542</v>
      </c>
      <c r="AY24" s="1516" t="s">
        <v>493</v>
      </c>
      <c r="BA24" s="1516" t="s">
        <v>494</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"СамРЭК-Тепло Жигулевск"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496</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497</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496</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497</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500</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500</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373</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374</v>
      </c>
      <c r="BI40" s="1164">
        <v>14</v>
      </c>
    </row>
    <row customHeight="1" ht="14.699999999999998">
      <c r="Q41" s="300"/>
      <c r="R41" s="385"/>
      <c r="S41" s="2282" t="s">
        <v>88</v>
      </c>
      <c r="T41" s="2218" t="s">
        <v>580</v>
      </c>
      <c r="U41" s="310"/>
      <c r="V41" s="2283" t="s">
        <v>502</v>
      </c>
      <c r="W41" s="2284"/>
      <c r="X41" s="2284"/>
      <c r="Y41" s="2284"/>
      <c r="Z41" s="2284"/>
      <c r="AA41" s="2284"/>
      <c r="AB41" s="2285"/>
      <c r="AC41" s="2286" t="s">
        <v>503</v>
      </c>
      <c r="AD41" s="2337" t="s">
        <v>597</v>
      </c>
      <c r="AE41" s="2300"/>
      <c r="AF41" s="2300"/>
      <c r="AG41" s="2338"/>
      <c r="AH41" s="2337" t="s">
        <v>598</v>
      </c>
      <c r="AI41" s="2300"/>
      <c r="AJ41" s="2300"/>
      <c r="AK41" s="2338"/>
      <c r="AL41" s="2337" t="s">
        <v>599</v>
      </c>
      <c r="AM41" s="2300"/>
      <c r="AN41" s="2300"/>
      <c r="AO41" s="2338"/>
      <c r="AP41" s="2337" t="s">
        <v>584</v>
      </c>
      <c r="AQ41" s="2300"/>
      <c r="AR41" s="2300"/>
      <c r="AS41" s="2338"/>
      <c r="AT41" s="2283" t="s">
        <v>502</v>
      </c>
      <c r="AU41" s="2284"/>
      <c r="AV41" s="2284"/>
      <c r="AW41" s="2284"/>
      <c r="AX41" s="2284"/>
      <c r="AY41" s="2284"/>
      <c r="AZ41" s="2285"/>
      <c r="BA41" s="2286" t="s">
        <v>503</v>
      </c>
      <c r="BB41" s="2289" t="s">
        <v>505</v>
      </c>
      <c r="BC41" s="2136"/>
      <c r="BI41" s="1164">
        <v>14</v>
      </c>
    </row>
    <row customHeight="1" ht="35.699999999999996">
      <c r="Q42" s="300"/>
      <c r="R42" s="385"/>
      <c r="S42" s="2282"/>
      <c r="T42" s="2218"/>
      <c r="U42" s="1040"/>
      <c r="V42" s="2201" t="s">
        <v>585</v>
      </c>
      <c r="W42" s="2202"/>
      <c r="X42" s="2201" t="s">
        <v>586</v>
      </c>
      <c r="Y42" s="2202"/>
      <c r="Z42" s="2303" t="s">
        <v>587</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600</v>
      </c>
      <c r="AU42" s="2202"/>
      <c r="AV42" s="2201" t="s">
        <v>601</v>
      </c>
      <c r="AW42" s="2202"/>
      <c r="AX42" s="2303" t="s">
        <v>587</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216</v>
      </c>
      <c r="C44" s="1379" t="s">
        <v>217</v>
      </c>
      <c r="D44" s="1379" t="s">
        <v>218</v>
      </c>
      <c r="E44" s="1373" t="s">
        <v>510</v>
      </c>
      <c r="F44" s="1373" t="s">
        <v>511</v>
      </c>
      <c r="G44" s="1373" t="s">
        <v>512</v>
      </c>
      <c r="H44" s="1373" t="s">
        <v>513</v>
      </c>
      <c r="I44" s="1373" t="s">
        <v>514</v>
      </c>
      <c r="J44" s="1373" t="s">
        <v>515</v>
      </c>
      <c r="K44" s="1373" t="s">
        <v>516</v>
      </c>
      <c r="L44" s="1373" t="s">
        <v>491</v>
      </c>
      <c r="Q44" s="300"/>
      <c r="R44" s="385"/>
      <c r="S44" s="2282"/>
      <c r="T44" s="2218"/>
      <c r="U44" s="311"/>
      <c r="V44" s="1488" t="s">
        <v>551</v>
      </c>
      <c r="W44" s="1488" t="s">
        <v>552</v>
      </c>
      <c r="X44" s="1488" t="s">
        <v>551</v>
      </c>
      <c r="Y44" s="1488" t="s">
        <v>552</v>
      </c>
      <c r="Z44" s="1498" t="s">
        <v>519</v>
      </c>
      <c r="AA44" s="2279" t="s">
        <v>520</v>
      </c>
      <c r="AB44" s="2280"/>
      <c r="AC44" s="2288"/>
      <c r="AD44" s="2342"/>
      <c r="AE44" s="2343"/>
      <c r="AF44" s="2343"/>
      <c r="AG44" s="2344"/>
      <c r="AH44" s="2342"/>
      <c r="AI44" s="2343"/>
      <c r="AJ44" s="2343"/>
      <c r="AK44" s="2344"/>
      <c r="AL44" s="2342"/>
      <c r="AM44" s="2343"/>
      <c r="AN44" s="2343"/>
      <c r="AO44" s="2344"/>
      <c r="AP44" s="2342"/>
      <c r="AQ44" s="2343"/>
      <c r="AR44" s="2343"/>
      <c r="AS44" s="2344"/>
      <c r="AT44" s="1488" t="s">
        <v>551</v>
      </c>
      <c r="AU44" s="1488" t="s">
        <v>552</v>
      </c>
      <c r="AV44" s="1488" t="s">
        <v>551</v>
      </c>
      <c r="AW44" s="1488" t="s">
        <v>552</v>
      </c>
      <c r="AX44" s="1498" t="s">
        <v>519</v>
      </c>
      <c r="AY44" s="2279" t="s">
        <v>520</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349</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204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349</v>
      </c>
      <c r="B47" s="1372" t="s">
        <v>350</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470</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471</v>
      </c>
      <c r="BE47" s="509"/>
      <c r="BF47" s="509" t="str">
        <f>IF(T47="","",T47)</f>
        <v>Территория действия тарифа</v>
      </c>
      <c r="BG47" s="509"/>
      <c r="BH47" s="509"/>
      <c r="BI47" s="1164">
        <v>21</v>
      </c>
    </row>
    <row customHeight="1" ht="35.699999999999996">
      <c r="A48" s="1372" t="s">
        <v>349</v>
      </c>
      <c r="B48" s="1372" t="s">
        <v>350</v>
      </c>
      <c r="C48" s="1372" t="s">
        <v>351</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589</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590</v>
      </c>
      <c r="BE48" s="509"/>
      <c r="BF48" s="509" t="str">
        <f>IF(T48="","",T48)</f>
        <v>Наименование централизованной системы водоотведения</v>
      </c>
      <c r="BG48" s="509"/>
      <c r="BH48" s="509"/>
      <c r="BI48" s="1164">
        <v>34</v>
      </c>
    </row>
    <row s="1651" customFormat="1" customHeight="1" ht="0">
      <c r="A49" s="1352" t="s">
        <v>349</v>
      </c>
      <c r="B49" s="1352" t="s">
        <v>350</v>
      </c>
      <c r="C49" s="1352" t="s">
        <v>351</v>
      </c>
      <c r="D49" s="1352" t="s">
        <v>602</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475</v>
      </c>
      <c r="BE49" s="509"/>
      <c r="BF49" s="509" t="str">
        <f>IF(T49="","",T49)</f>
        <v/>
      </c>
      <c r="BG49" s="509"/>
      <c r="BH49" s="509"/>
      <c r="BI49" s="520">
        <v>0</v>
      </c>
    </row>
    <row s="1651" customFormat="1" customHeight="1" ht="0">
      <c r="A50" s="1352" t="s">
        <v>349</v>
      </c>
      <c r="B50" s="1352" t="s">
        <v>350</v>
      </c>
      <c r="C50" s="1352" t="s">
        <v>351</v>
      </c>
      <c r="D50" s="1352" t="s">
        <v>602</v>
      </c>
      <c r="E50" s="2268"/>
      <c r="F50" s="2268"/>
      <c r="G50" s="2268"/>
      <c r="H50" s="2268"/>
      <c r="I50" s="2265" t="str">
        <f>S49&amp;".1"</f>
        <v>.1</v>
      </c>
      <c r="J50" s="1352"/>
      <c r="K50" s="1352"/>
      <c r="L50" s="1355" t="s">
        <v>476</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349</v>
      </c>
      <c r="B51" s="1352" t="s">
        <v>350</v>
      </c>
      <c r="C51" s="1352" t="s">
        <v>351</v>
      </c>
      <c r="D51" s="1352" t="s">
        <v>602</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349</v>
      </c>
      <c r="B52" s="1372" t="s">
        <v>350</v>
      </c>
      <c r="C52" s="1372" t="s">
        <v>351</v>
      </c>
      <c r="D52" s="1372" t="s">
        <v>602</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574</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575</v>
      </c>
      <c r="AT53" s="1402"/>
      <c r="AU53" s="1505"/>
      <c r="AV53" s="1402"/>
      <c r="AW53" s="1505"/>
      <c r="AX53" s="1402"/>
      <c r="AY53" s="1402"/>
      <c r="AZ53" s="1402"/>
      <c r="BA53" s="1402"/>
      <c r="BB53" s="1406"/>
      <c r="BC53" s="2263"/>
      <c r="BE53" s="509"/>
      <c r="BF53" s="509"/>
      <c r="BG53" s="509"/>
      <c r="BH53" s="509"/>
      <c r="BI53" s="1164">
        <v>11</v>
      </c>
    </row>
    <row customHeight="1" ht="11.549999999999999">
      <c r="A54" s="1372" t="s">
        <v>349</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595</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349</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596</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349</v>
      </c>
      <c r="B56" s="1372" t="s">
        <v>350</v>
      </c>
      <c r="C56" s="1372" t="s">
        <v>351</v>
      </c>
      <c r="D56" s="1372" t="s">
        <v>602</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578</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349</v>
      </c>
      <c r="B57" s="1372" t="s">
        <v>350</v>
      </c>
      <c r="C57" s="1372" t="s">
        <v>351</v>
      </c>
      <c r="D57" s="1372" t="s">
        <v>602</v>
      </c>
      <c r="E57" s="2268"/>
      <c r="F57" s="2268"/>
      <c r="G57" s="2268"/>
      <c r="H57" s="2268"/>
      <c r="I57" s="2295"/>
      <c r="J57" s="2265"/>
      <c r="K57" s="1372"/>
      <c r="L57" s="1373"/>
      <c r="P57" s="2266"/>
      <c r="Q57" s="2266"/>
      <c r="R57" s="365"/>
      <c r="S57" s="1287"/>
      <c r="T57" s="296" t="s">
        <v>541</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349</v>
      </c>
      <c r="B58" s="1352" t="s">
        <v>350</v>
      </c>
      <c r="C58" s="1352" t="s">
        <v>351</v>
      </c>
      <c r="D58" s="1352" t="s">
        <v>602</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349</v>
      </c>
      <c r="B59" s="1352" t="s">
        <v>350</v>
      </c>
      <c r="C59" s="1352" t="s">
        <v>351</v>
      </c>
      <c r="D59" s="1352" t="s">
        <v>602</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349</v>
      </c>
      <c r="B60" s="1352" t="s">
        <v>350</v>
      </c>
      <c r="C60" s="1352" t="s">
        <v>351</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349</v>
      </c>
      <c r="B61" s="1352" t="s">
        <v>350</v>
      </c>
      <c r="C61" s="1323"/>
      <c r="D61" s="1323"/>
      <c r="E61" s="2268"/>
      <c r="F61" s="2267"/>
      <c r="G61" s="1323"/>
      <c r="H61" s="1323"/>
      <c r="I61" s="1323"/>
      <c r="J61" s="1323"/>
      <c r="K61" s="1323"/>
      <c r="L61" s="1503"/>
      <c r="M61" s="1330"/>
      <c r="N61" s="1330"/>
      <c r="P61" s="1325"/>
      <c r="Q61" s="1326"/>
      <c r="R61" s="1325"/>
      <c r="S61" s="1331"/>
      <c r="T61" s="1334" t="s">
        <v>488</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349</v>
      </c>
      <c r="B62" s="1352"/>
      <c r="C62" s="1352"/>
      <c r="D62" s="1352"/>
      <c r="E62" s="2267"/>
      <c r="F62" s="1352"/>
      <c r="G62" s="1352"/>
      <c r="H62" s="1352"/>
      <c r="I62" s="1352"/>
      <c r="J62" s="1352"/>
      <c r="K62" s="1352"/>
      <c r="L62" s="1355"/>
      <c r="M62" s="1330"/>
      <c r="N62" s="1330"/>
      <c r="O62" s="527"/>
      <c r="P62" s="389"/>
      <c r="Q62" s="1353"/>
      <c r="R62" s="389"/>
      <c r="S62" s="1331"/>
      <c r="T62" s="1334" t="s">
        <v>489</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521</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A63D5-5976-E9E8-A834-0.9951AB7B}" mc:Ignorable="x14ac xr xr2 xr3">
  <sheetPr>
    <tabColor rgb="FFCCCCFF"/>
    <pageSetUpPr fitToPage="1"/>
  </sheetPr>
  <dimension ref="A1:AC29"/>
  <sheetViews>
    <sheetView topLeftCell="A1" showGridLines="0" zoomScale="90" workbookViewId="0">
      <selection activeCell="H26" sqref="H26"/>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83</v>
      </c>
      <c r="H1" s="503" t="s">
        <v>84</v>
      </c>
      <c r="I1" s="236" t="s">
        <v>85</v>
      </c>
      <c r="J1" s="256" t="s">
        <v>83</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86</v>
      </c>
      <c r="F8" s="2111"/>
      <c r="G8" s="2112"/>
      <c r="H8" s="2113" t="s">
        <v>87</v>
      </c>
      <c r="I8" s="2113"/>
      <c r="J8" s="164"/>
      <c r="K8" s="164"/>
      <c r="L8" s="164"/>
      <c r="M8" s="164"/>
      <c r="N8" s="235"/>
      <c r="O8" s="164"/>
      <c r="P8" s="234"/>
      <c r="Q8" s="234"/>
      <c r="R8" s="234"/>
      <c r="S8" s="234"/>
      <c r="AC8" s="125">
        <v>14</v>
      </c>
    </row>
    <row s="1828" customFormat="1" customHeight="1" ht="21">
      <c r="A9" s="767"/>
      <c r="B9" s="426"/>
      <c r="C9" s="767"/>
      <c r="D9" s="173"/>
      <c r="E9" s="786" t="s">
        <v>88</v>
      </c>
      <c r="F9" s="786"/>
      <c r="G9" s="181" t="s">
        <v>89</v>
      </c>
      <c r="H9" s="181" t="s">
        <v>89</v>
      </c>
      <c r="I9" s="181" t="s">
        <v>85</v>
      </c>
      <c r="J9" s="164"/>
      <c r="K9" s="164"/>
      <c r="L9" s="164"/>
      <c r="M9" s="164"/>
      <c r="N9" s="235"/>
      <c r="O9" s="164"/>
      <c r="P9" s="234"/>
      <c r="Q9" s="234"/>
      <c r="R9" s="234"/>
      <c r="S9" s="234"/>
      <c r="AC9" s="125">
        <v>20</v>
      </c>
    </row>
    <row customHeight="1" ht="11.549999999999999">
      <c r="D10" s="185"/>
      <c r="E10" s="787" t="s">
        <v>90</v>
      </c>
      <c r="F10" s="787"/>
      <c r="G10" s="232" t="s">
        <v>91</v>
      </c>
      <c r="H10" s="232" t="s">
        <v>92</v>
      </c>
      <c r="I10" s="232" t="s">
        <v>93</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94</v>
      </c>
      <c r="K11" s="164"/>
      <c r="L11" s="164"/>
      <c r="M11" s="164" t="s">
        <v>95</v>
      </c>
      <c r="N11" s="235" t="s">
        <v>96</v>
      </c>
      <c r="O11" s="164" t="s">
        <v>97</v>
      </c>
      <c r="P11" s="234"/>
      <c r="Q11" s="234"/>
      <c r="R11" s="234"/>
      <c r="S11" s="234"/>
      <c r="AC11" s="125">
        <v>1</v>
      </c>
    </row>
    <row s="1828" customFormat="1" customHeight="1" ht="15">
      <c r="A12" s="2108">
        <v>1</v>
      </c>
      <c r="B12" s="426"/>
      <c r="C12" s="767"/>
      <c r="D12" s="791"/>
      <c r="E12" s="228">
        <f>A12</f>
        <v>1</v>
      </c>
      <c r="F12" s="811" t="s">
        <v>98</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99</v>
      </c>
      <c r="G13" s="802" t="s">
        <v>100</v>
      </c>
      <c r="H13" s="802" t="s">
        <v>100</v>
      </c>
      <c r="I13" s="800" t="s">
        <v>101</v>
      </c>
      <c r="J13" s="509">
        <f>MERGEVALUE(G13)</f>
      </c>
      <c r="K13" s="520"/>
      <c r="L13" s="520"/>
      <c r="M13" s="509" t="str">
        <f t="array" ref="M13:M13">IF(ISERROR(MATCH(MID(N13,1,250),MID(note_ter,1,250),0)),"n","y")</f>
        <v>n</v>
      </c>
      <c r="N13" s="520"/>
      <c r="O13" s="509" t="str">
        <f>H13&amp;"("&amp;I13&amp;")"</f>
        <v>городской округ Жигулевск(36704000)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102</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s="1828" customFormat="1" customHeight="1" ht="14.699999999999998">
      <c r="A15" s="767"/>
      <c r="B15" s="426"/>
      <c r="C15" s="767"/>
      <c r="D15" s="791"/>
      <c r="E15" s="803"/>
      <c r="F15" s="187"/>
      <c r="G15" s="425" t="s">
        <v>103</v>
      </c>
      <c r="H15" s="187"/>
      <c r="I15" s="188"/>
      <c r="J15" s="258"/>
      <c r="K15" s="164"/>
      <c r="L15" s="164"/>
      <c r="M15" s="164"/>
      <c r="N15" s="235" t="s">
        <v>104</v>
      </c>
      <c r="O15" s="164"/>
      <c r="P15" s="234"/>
      <c r="Q15" s="234"/>
      <c r="R15" s="234"/>
      <c r="S15" s="234"/>
      <c r="AC15" s="125">
        <v>14</v>
      </c>
    </row>
    <row s="1828" customFormat="1" customHeight="1" ht="22.049999999999997">
      <c r="A16" s="767"/>
      <c r="B16" s="426"/>
      <c r="C16" s="767"/>
      <c r="D16" s="174"/>
      <c r="E16" s="189"/>
      <c r="F16" s="189"/>
      <c r="G16" s="189"/>
      <c r="H16" s="189"/>
      <c r="I16" s="189"/>
      <c r="J16" s="164"/>
      <c r="K16" s="164"/>
      <c r="L16" s="164"/>
      <c r="M16" s="164"/>
      <c r="N16" s="235"/>
      <c r="O16" s="164"/>
      <c r="P16" s="234"/>
      <c r="Q16" s="234"/>
      <c r="R16" s="234"/>
      <c r="S16" s="234"/>
      <c r="AC16" s="125">
        <v>21</v>
      </c>
    </row>
    <row s="1828" customFormat="1" customHeight="1" ht="14.699999999999998">
      <c r="A17" s="767"/>
      <c r="B17" s="426"/>
      <c r="C17" s="767"/>
      <c r="D17" s="174"/>
      <c r="E17" s="92"/>
      <c r="F17" s="767"/>
      <c r="G17" s="92"/>
      <c r="H17" s="92"/>
      <c r="I17" s="92"/>
      <c r="J17" s="164"/>
      <c r="K17" s="164"/>
      <c r="L17" s="164"/>
      <c r="M17" s="164"/>
      <c r="N17" s="235"/>
      <c r="O17" s="164"/>
      <c r="P17" s="234"/>
      <c r="Q17" s="234"/>
      <c r="R17" s="234"/>
      <c r="S17" s="234"/>
      <c r="AC17" s="125">
        <v>14</v>
      </c>
    </row>
    <row s="1828" customFormat="1" customHeight="1" ht="1.05">
      <c r="A18" s="767"/>
      <c r="B18" s="426"/>
      <c r="C18" s="767"/>
      <c r="D18" s="174"/>
      <c r="E18" s="92"/>
      <c r="F18" s="767"/>
      <c r="G18" s="92"/>
      <c r="H18" s="92"/>
      <c r="I18" s="92"/>
      <c r="J18" s="164"/>
      <c r="K18" s="164"/>
      <c r="L18" s="164"/>
      <c r="M18" s="164"/>
      <c r="N18" s="235"/>
      <c r="O18" s="164"/>
      <c r="P18" s="234"/>
      <c r="Q18" s="234"/>
      <c r="R18" s="234"/>
      <c r="S18" s="234"/>
      <c r="AC18" s="125">
        <v>1</v>
      </c>
    </row>
    <row s="1073" customFormat="1" customHeight="1" ht="10.5">
      <c r="B19" s="843"/>
      <c r="D19" s="191"/>
      <c r="J19" s="164"/>
      <c r="K19" s="164"/>
      <c r="L19" s="164"/>
      <c r="M19" s="164"/>
      <c r="N19" s="235"/>
      <c r="O19" s="164"/>
      <c r="P19" s="234"/>
      <c r="Q19" s="234"/>
      <c r="R19" s="234"/>
      <c r="S19" s="234"/>
      <c r="AC19" s="190">
        <v>10</v>
      </c>
    </row>
    <row s="1073" customFormat="1" customHeight="1" ht="10.5">
      <c r="B20" s="843"/>
      <c r="D20" s="191"/>
      <c r="J20" s="164"/>
      <c r="K20" s="164"/>
      <c r="L20" s="164"/>
      <c r="M20" s="164"/>
      <c r="N20" s="235"/>
      <c r="O20" s="164"/>
      <c r="P20" s="234"/>
      <c r="Q20" s="234"/>
      <c r="R20" s="234"/>
      <c r="S20" s="234"/>
      <c r="AC20" s="190">
        <v>10</v>
      </c>
    </row>
    <row customHeight="1" ht="14.699999999999998">
      <c r="AC21" s="92">
        <v>14</v>
      </c>
    </row>
    <row customHeight="1" ht="14.699999999999998">
      <c r="AC22" s="92">
        <v>14</v>
      </c>
    </row>
    <row customHeight="1" ht="14.699999999999998">
      <c r="AC23" s="92">
        <v>14</v>
      </c>
    </row>
    <row customHeight="1" ht="14.699999999999998">
      <c r="H24" s="73"/>
      <c r="AC24" s="92">
        <v>14</v>
      </c>
    </row>
    <row customHeight="1" ht="14.699999999999998">
      <c r="AC25" s="92">
        <v>14</v>
      </c>
    </row>
    <row customHeight="1" ht="14.699999999999998">
      <c r="AC26" s="92">
        <v>14</v>
      </c>
    </row>
    <row customHeight="1" ht="14.699999999999998">
      <c r="AC27" s="92">
        <v>14</v>
      </c>
    </row>
    <row customHeight="1" ht="14.699999999999998">
      <c r="J28" s="92"/>
      <c r="K28" s="92"/>
      <c r="L28" s="92"/>
      <c r="AC28" s="92">
        <v>14</v>
      </c>
    </row>
    <row customHeight="1" ht="22.5" hidden="1">
      <c r="A29" s="767" t="s">
        <v>82</v>
      </c>
      <c r="B29" s="426">
        <v>0</v>
      </c>
      <c r="C29" s="767">
        <v>3</v>
      </c>
      <c r="D29" s="174">
        <v>3</v>
      </c>
      <c r="E29" s="92">
        <v>6</v>
      </c>
      <c r="F29" s="767">
        <v>0</v>
      </c>
      <c r="G29" s="92">
        <v>46</v>
      </c>
      <c r="H29" s="92">
        <v>42</v>
      </c>
      <c r="I29" s="92">
        <v>14</v>
      </c>
      <c r="J29" s="164">
        <v>3</v>
      </c>
      <c r="K29" s="164">
        <v>0</v>
      </c>
      <c r="L29" s="164">
        <v>0</v>
      </c>
      <c r="M29" s="164">
        <v>0</v>
      </c>
      <c r="N29" s="235">
        <v>0</v>
      </c>
      <c r="O29" s="164">
        <v>0</v>
      </c>
      <c r="P29" s="234">
        <v>0</v>
      </c>
      <c r="Q29" s="234">
        <v>0</v>
      </c>
      <c r="R29" s="234">
        <v>0</v>
      </c>
      <c r="S29" s="234">
        <v>0</v>
      </c>
      <c r="T29" s="92">
        <v>0</v>
      </c>
      <c r="U29" s="92">
        <v>0</v>
      </c>
      <c r="V29" s="92">
        <v>0</v>
      </c>
      <c r="W29" s="92">
        <v>0</v>
      </c>
      <c r="X29" s="92">
        <v>0</v>
      </c>
      <c r="Y29" s="92">
        <v>0</v>
      </c>
      <c r="Z29" s="92">
        <v>0</v>
      </c>
      <c r="AA29" s="92">
        <v>0</v>
      </c>
      <c r="AB29" s="92">
        <v>8</v>
      </c>
      <c r="AC29" s="92">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26EA8-D058-3B91-0097-0.88F43D5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204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470</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471</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603</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604</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556</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557</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479</v>
      </c>
      <c r="P6" s="2266"/>
      <c r="Q6" s="2266">
        <v>1</v>
      </c>
      <c r="R6" s="366"/>
      <c r="S6" s="1502">
        <f>$J6</f>
      </c>
      <c r="T6" s="295" t="s">
        <v>480</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558</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66</v>
      </c>
      <c r="AE7" s="2274"/>
      <c r="AF7" s="2116" t="s">
        <v>66</v>
      </c>
      <c r="AG7" s="760"/>
      <c r="AH7" s="760"/>
      <c r="AI7" s="760"/>
      <c r="AJ7" s="760"/>
      <c r="AK7" s="760"/>
      <c r="AL7" s="760"/>
      <c r="AM7" s="760"/>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560</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485</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66</v>
      </c>
      <c r="AP15" s="2276"/>
      <c r="AQ15" s="2277" t="s">
        <v>66</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490</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491</v>
      </c>
      <c r="P20" s="1371"/>
      <c r="Q20" s="1451"/>
      <c r="R20" s="1451"/>
      <c r="S20" s="738"/>
      <c r="T20" s="1169" t="s">
        <v>492</v>
      </c>
      <c r="W20" s="1375"/>
      <c r="X20" s="1375"/>
      <c r="Y20" s="1375"/>
      <c r="Z20" s="1375"/>
      <c r="AA20" s="1375"/>
      <c r="AB20" s="1375"/>
      <c r="AD20" s="195" t="s">
        <v>493</v>
      </c>
      <c r="AF20" s="195" t="s">
        <v>494</v>
      </c>
      <c r="AG20" s="1169" t="s">
        <v>492</v>
      </c>
      <c r="AH20" s="1375"/>
      <c r="AI20" s="1375"/>
      <c r="AJ20" s="1375"/>
      <c r="AK20" s="1375"/>
      <c r="AL20" s="1375"/>
      <c r="AO20" s="195" t="s">
        <v>495</v>
      </c>
      <c r="AQ20" s="195" t="s">
        <v>494</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500</v>
      </c>
      <c r="AG34" s="335"/>
      <c r="AH34" s="1644"/>
      <c r="AI34" s="1644"/>
      <c r="AJ34" s="1644"/>
      <c r="AK34" s="1644"/>
      <c r="AL34" s="1644"/>
      <c r="AM34" s="335"/>
      <c r="AN34" s="335"/>
      <c r="AO34" s="335"/>
      <c r="AP34" s="335"/>
      <c r="AQ34" s="287" t="s">
        <v>500</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374</v>
      </c>
      <c r="AY36" s="1164">
        <v>14</v>
      </c>
    </row>
    <row customHeight="1" ht="14.699999999999998">
      <c r="Q37" s="385"/>
      <c r="R37" s="385"/>
      <c r="S37" s="2282" t="s">
        <v>88</v>
      </c>
      <c r="T37" s="2218" t="s">
        <v>501</v>
      </c>
      <c r="U37" s="310"/>
      <c r="V37" s="2283" t="s">
        <v>502</v>
      </c>
      <c r="W37" s="2300"/>
      <c r="X37" s="2300"/>
      <c r="Y37" s="2300"/>
      <c r="Z37" s="2300"/>
      <c r="AA37" s="2300"/>
      <c r="AB37" s="2300"/>
      <c r="AC37" s="2284"/>
      <c r="AD37" s="2284"/>
      <c r="AE37" s="2285"/>
      <c r="AF37" s="2286" t="s">
        <v>503</v>
      </c>
      <c r="AG37" s="2283" t="s">
        <v>502</v>
      </c>
      <c r="AH37" s="2284"/>
      <c r="AI37" s="2284"/>
      <c r="AJ37" s="2284"/>
      <c r="AK37" s="2284"/>
      <c r="AL37" s="2284"/>
      <c r="AM37" s="2284"/>
      <c r="AN37" s="2284"/>
      <c r="AO37" s="2284"/>
      <c r="AP37" s="2285"/>
      <c r="AQ37" s="2286" t="s">
        <v>504</v>
      </c>
      <c r="AR37" s="2289" t="s">
        <v>505</v>
      </c>
      <c r="AS37" s="2136"/>
      <c r="AY37" s="1164">
        <v>14</v>
      </c>
    </row>
    <row customHeight="1" ht="19.95">
      <c r="Q38" s="385"/>
      <c r="R38" s="385"/>
      <c r="S38" s="2282"/>
      <c r="T38" s="2218"/>
      <c r="U38" s="1040"/>
      <c r="V38" s="2375" t="s">
        <v>605</v>
      </c>
      <c r="W38" s="2374" t="s">
        <v>606</v>
      </c>
      <c r="X38" s="2374"/>
      <c r="Y38" s="2374"/>
      <c r="Z38" s="2374" t="s">
        <v>607</v>
      </c>
      <c r="AA38" s="2374"/>
      <c r="AB38" s="2374"/>
      <c r="AC38" s="2303" t="s">
        <v>509</v>
      </c>
      <c r="AD38" s="2322"/>
      <c r="AE38" s="2323"/>
      <c r="AF38" s="2287"/>
      <c r="AG38" s="2375" t="s">
        <v>605</v>
      </c>
      <c r="AH38" s="2374" t="s">
        <v>606</v>
      </c>
      <c r="AI38" s="2374"/>
      <c r="AJ38" s="2374"/>
      <c r="AK38" s="2374" t="s">
        <v>607</v>
      </c>
      <c r="AL38" s="2374"/>
      <c r="AM38" s="2374"/>
      <c r="AN38" s="2303" t="s">
        <v>509</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608</v>
      </c>
      <c r="X39" s="2374" t="s">
        <v>609</v>
      </c>
      <c r="Y39" s="2374"/>
      <c r="Z39" s="2374" t="s">
        <v>610</v>
      </c>
      <c r="AA39" s="2374" t="s">
        <v>609</v>
      </c>
      <c r="AB39" s="2374"/>
      <c r="AC39" s="2304"/>
      <c r="AD39" s="2324"/>
      <c r="AE39" s="2325"/>
      <c r="AF39" s="2287"/>
      <c r="AG39" s="2375"/>
      <c r="AH39" s="2374" t="s">
        <v>608</v>
      </c>
      <c r="AI39" s="2374" t="s">
        <v>609</v>
      </c>
      <c r="AJ39" s="2374"/>
      <c r="AK39" s="2374" t="s">
        <v>610</v>
      </c>
      <c r="AL39" s="2374" t="s">
        <v>609</v>
      </c>
      <c r="AM39" s="2374"/>
      <c r="AN39" s="2304"/>
      <c r="AO39" s="2324"/>
      <c r="AP39" s="2325"/>
      <c r="AQ39" s="2287"/>
      <c r="AR39" s="2290"/>
      <c r="AS39" s="2136"/>
      <c r="AT39" s="1645"/>
      <c r="AU39" s="1645"/>
      <c r="AV39" s="1645"/>
      <c r="AW39" s="1645"/>
      <c r="AX39" s="1645"/>
      <c r="AY39" s="1640">
        <v>19</v>
      </c>
    </row>
    <row customHeight="1" ht="61.949999999999996">
      <c r="A40" s="1379"/>
      <c r="B40" s="1379" t="s">
        <v>216</v>
      </c>
      <c r="C40" s="1379" t="s">
        <v>217</v>
      </c>
      <c r="D40" s="1379" t="s">
        <v>218</v>
      </c>
      <c r="E40" s="1373" t="s">
        <v>510</v>
      </c>
      <c r="F40" s="1373" t="s">
        <v>511</v>
      </c>
      <c r="G40" s="1373" t="s">
        <v>512</v>
      </c>
      <c r="H40" s="1373"/>
      <c r="I40" s="1373" t="s">
        <v>563</v>
      </c>
      <c r="J40" s="1373" t="s">
        <v>515</v>
      </c>
      <c r="K40" s="1373" t="s">
        <v>564</v>
      </c>
      <c r="L40" s="1373" t="s">
        <v>491</v>
      </c>
      <c r="Q40" s="385"/>
      <c r="R40" s="385"/>
      <c r="S40" s="2282"/>
      <c r="T40" s="2218"/>
      <c r="U40" s="311"/>
      <c r="V40" s="2375"/>
      <c r="W40" s="2374"/>
      <c r="X40" s="1992" t="s">
        <v>611</v>
      </c>
      <c r="Y40" s="1992" t="s">
        <v>612</v>
      </c>
      <c r="Z40" s="2374"/>
      <c r="AA40" s="1992" t="s">
        <v>613</v>
      </c>
      <c r="AB40" s="1992" t="s">
        <v>614</v>
      </c>
      <c r="AC40" s="1498" t="s">
        <v>519</v>
      </c>
      <c r="AD40" s="2279" t="s">
        <v>520</v>
      </c>
      <c r="AE40" s="2280"/>
      <c r="AF40" s="2288"/>
      <c r="AG40" s="2375"/>
      <c r="AH40" s="2374"/>
      <c r="AI40" s="1992" t="s">
        <v>611</v>
      </c>
      <c r="AJ40" s="1992" t="s">
        <v>612</v>
      </c>
      <c r="AK40" s="2374"/>
      <c r="AL40" s="1992" t="s">
        <v>613</v>
      </c>
      <c r="AM40" s="1992" t="s">
        <v>614</v>
      </c>
      <c r="AN40" s="1498" t="s">
        <v>519</v>
      </c>
      <c r="AO40" s="2279" t="s">
        <v>520</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109</v>
      </c>
      <c r="T41" s="1264" t="s">
        <v>110</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324</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204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324</v>
      </c>
      <c r="B43" s="1372" t="s">
        <v>325</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470</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471</v>
      </c>
      <c r="AU43" s="509"/>
      <c r="AV43" s="509" t="str">
        <f>IF(T43="","",T43)</f>
        <v>Территория действия тарифа</v>
      </c>
      <c r="AW43" s="509"/>
      <c r="AX43" s="509"/>
      <c r="AY43" s="1164">
        <v>23</v>
      </c>
    </row>
    <row customHeight="1" ht="24">
      <c r="A44" s="1372" t="s">
        <v>324</v>
      </c>
      <c r="B44" s="1372" t="s">
        <v>325</v>
      </c>
      <c r="C44" s="1372" t="s">
        <v>326</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603</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604</v>
      </c>
      <c r="AU44" s="509"/>
      <c r="AV44" s="509" t="str">
        <f>IF(T44="","",T44)</f>
        <v>Наименование централизованной системы горячего водоснабжения</v>
      </c>
      <c r="AW44" s="509"/>
      <c r="AX44" s="509"/>
      <c r="AY44" s="1164">
        <v>23</v>
      </c>
    </row>
    <row customHeight="1" ht="24">
      <c r="A45" s="1372" t="s">
        <v>324</v>
      </c>
      <c r="B45" s="1372" t="s">
        <v>325</v>
      </c>
      <c r="C45" s="1372" t="s">
        <v>326</v>
      </c>
      <c r="D45" s="1372" t="s">
        <v>615</v>
      </c>
      <c r="E45" s="2268"/>
      <c r="F45" s="2268"/>
      <c r="G45" s="2268"/>
      <c r="H45" s="2268"/>
      <c r="I45" s="2265" t="str">
        <f>S44&amp;".1"</f>
        <v>...1</v>
      </c>
      <c r="J45" s="1372"/>
      <c r="K45" s="1372"/>
      <c r="L45" s="1373"/>
      <c r="P45" s="2266">
        <v>1</v>
      </c>
      <c r="Q45" s="1490"/>
      <c r="R45" s="365"/>
      <c r="S45" s="1502" t="str">
        <f>$I45</f>
        <v>...1</v>
      </c>
      <c r="T45" s="294" t="s">
        <v>556</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557</v>
      </c>
      <c r="AU45" s="509"/>
      <c r="AV45" s="509" t="str">
        <f>IF(T45="","",T45)</f>
        <v>Наименование признака дифференциации</v>
      </c>
      <c r="AW45" s="509"/>
      <c r="AX45" s="509"/>
      <c r="AY45" s="1164">
        <v>23</v>
      </c>
    </row>
    <row customHeight="1" ht="24">
      <c r="A46" s="1372" t="s">
        <v>324</v>
      </c>
      <c r="B46" s="1372" t="s">
        <v>325</v>
      </c>
      <c r="C46" s="1372" t="s">
        <v>326</v>
      </c>
      <c r="D46" s="1372" t="s">
        <v>615</v>
      </c>
      <c r="E46" s="2268"/>
      <c r="F46" s="2268"/>
      <c r="G46" s="2268"/>
      <c r="H46" s="2268"/>
      <c r="I46" s="2295"/>
      <c r="J46" s="2265" t="str">
        <f>I45&amp;".1"</f>
        <v>...1.1</v>
      </c>
      <c r="K46" s="1372"/>
      <c r="L46" s="1373" t="s">
        <v>479</v>
      </c>
      <c r="P46" s="2266"/>
      <c r="Q46" s="2266">
        <v>1</v>
      </c>
      <c r="R46" s="366"/>
      <c r="S46" s="1502" t="str">
        <f>$J46</f>
        <v>...1.1</v>
      </c>
      <c r="T46" s="295" t="s">
        <v>480</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558</v>
      </c>
      <c r="AU46" s="509"/>
      <c r="AV46" s="509" t="str">
        <f>IF(T46="","",T46)</f>
        <v>Группа потребителей</v>
      </c>
      <c r="AW46" s="509"/>
      <c r="AX46" s="509"/>
      <c r="AY46" s="1164">
        <v>23</v>
      </c>
    </row>
    <row customHeight="1" ht="24">
      <c r="A47" s="1372" t="s">
        <v>324</v>
      </c>
      <c r="B47" s="1372" t="s">
        <v>325</v>
      </c>
      <c r="C47" s="1372" t="s">
        <v>326</v>
      </c>
      <c r="D47" s="1372" t="s">
        <v>615</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66</v>
      </c>
      <c r="AE47" s="2276"/>
      <c r="AF47" s="2277" t="s">
        <v>66</v>
      </c>
      <c r="AG47" s="760"/>
      <c r="AH47" s="760"/>
      <c r="AI47" s="760"/>
      <c r="AJ47" s="760"/>
      <c r="AK47" s="760"/>
      <c r="AL47" s="760"/>
      <c r="AM47" s="760"/>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324</v>
      </c>
      <c r="B48" s="1372" t="s">
        <v>325</v>
      </c>
      <c r="C48" s="1372" t="s">
        <v>326</v>
      </c>
      <c r="D48" s="1372" t="s">
        <v>615</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324</v>
      </c>
      <c r="B49" s="1372" t="s">
        <v>325</v>
      </c>
      <c r="C49" s="1372" t="s">
        <v>326</v>
      </c>
      <c r="D49" s="1372" t="s">
        <v>615</v>
      </c>
      <c r="E49" s="2268"/>
      <c r="F49" s="2268"/>
      <c r="G49" s="2268"/>
      <c r="H49" s="2268"/>
      <c r="I49" s="2295"/>
      <c r="J49" s="2265"/>
      <c r="K49" s="1372"/>
      <c r="L49" s="1373"/>
      <c r="P49" s="2266"/>
      <c r="Q49" s="2266"/>
      <c r="R49" s="365"/>
      <c r="S49" s="1287"/>
      <c r="T49" s="296" t="s">
        <v>559</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560</v>
      </c>
      <c r="AU49" s="509"/>
      <c r="AV49" s="509" t="str">
        <f>IF(T49="","",T49)</f>
        <v>Добавить значение признака дифференциации</v>
      </c>
      <c r="AW49" s="509"/>
      <c r="AX49" s="509"/>
      <c r="AY49" s="1164">
        <v>20</v>
      </c>
    </row>
    <row customHeight="1" ht="22.049999999999997">
      <c r="A50" s="1372" t="s">
        <v>324</v>
      </c>
      <c r="B50" s="1372" t="s">
        <v>325</v>
      </c>
      <c r="C50" s="1372" t="s">
        <v>326</v>
      </c>
      <c r="D50" s="1372" t="s">
        <v>615</v>
      </c>
      <c r="E50" s="2268"/>
      <c r="F50" s="2268"/>
      <c r="G50" s="2268"/>
      <c r="H50" s="2268"/>
      <c r="I50" s="2265"/>
      <c r="J50" s="1372"/>
      <c r="K50" s="1372"/>
      <c r="L50" s="1373"/>
      <c r="P50" s="2266"/>
      <c r="Q50" s="1490"/>
      <c r="R50" s="365"/>
      <c r="S50" s="1287"/>
      <c r="T50" s="374" t="s">
        <v>485</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324</v>
      </c>
      <c r="B51" s="1372" t="s">
        <v>325</v>
      </c>
      <c r="C51" s="1372" t="s">
        <v>326</v>
      </c>
      <c r="D51" s="1372" t="s">
        <v>615</v>
      </c>
      <c r="E51" s="2268"/>
      <c r="F51" s="2268"/>
      <c r="G51" s="2268"/>
      <c r="H51" s="2267"/>
      <c r="I51" s="1372"/>
      <c r="J51" s="1372"/>
      <c r="K51" s="1372"/>
      <c r="L51" s="1373"/>
      <c r="M51" s="1374"/>
      <c r="N51" s="1374"/>
      <c r="O51" s="546"/>
      <c r="P51" s="369"/>
      <c r="Q51" s="384"/>
      <c r="R51" s="364"/>
      <c r="S51" s="1287"/>
      <c r="T51" s="381" t="s">
        <v>561</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324</v>
      </c>
      <c r="B52" s="1352" t="s">
        <v>325</v>
      </c>
      <c r="C52" s="1323"/>
      <c r="D52" s="1323"/>
      <c r="E52" s="2268"/>
      <c r="F52" s="2267"/>
      <c r="G52" s="1323"/>
      <c r="H52" s="1323"/>
      <c r="I52" s="1323"/>
      <c r="J52" s="1323"/>
      <c r="K52" s="1323"/>
      <c r="L52" s="1503"/>
      <c r="M52" s="1330"/>
      <c r="N52" s="1330"/>
      <c r="P52" s="1325"/>
      <c r="Q52" s="1326"/>
      <c r="R52" s="1325"/>
      <c r="S52" s="1331"/>
      <c r="T52" s="1334" t="s">
        <v>488</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324</v>
      </c>
      <c r="B53" s="1352"/>
      <c r="C53" s="1352"/>
      <c r="D53" s="1352"/>
      <c r="E53" s="2267"/>
      <c r="F53" s="1352"/>
      <c r="G53" s="1352"/>
      <c r="H53" s="1352"/>
      <c r="I53" s="1352"/>
      <c r="J53" s="1352"/>
      <c r="K53" s="1352"/>
      <c r="L53" s="1355"/>
      <c r="M53" s="1330"/>
      <c r="N53" s="1330"/>
      <c r="O53" s="527"/>
      <c r="P53" s="389"/>
      <c r="Q53" s="1353"/>
      <c r="R53" s="389"/>
      <c r="S53" s="1331"/>
      <c r="T53" s="1334" t="s">
        <v>489</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521</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D28146-958D-F6FB-BF46-0.8C27934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204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470</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471</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603</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604</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556</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557</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479</v>
      </c>
      <c r="P6" s="2266"/>
      <c r="Q6" s="2266">
        <v>1</v>
      </c>
      <c r="R6" s="366"/>
      <c r="S6" s="1502">
        <f>$J6</f>
      </c>
      <c r="T6" s="295" t="s">
        <v>480</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558</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66</v>
      </c>
      <c r="AE7" s="2274"/>
      <c r="AF7" s="2116" t="s">
        <v>66</v>
      </c>
      <c r="AG7" s="760"/>
      <c r="AH7" s="760"/>
      <c r="AI7" s="760"/>
      <c r="AJ7" s="760"/>
      <c r="AK7" s="760"/>
      <c r="AL7" s="760"/>
      <c r="AM7" s="1266"/>
      <c r="AN7" s="2274"/>
      <c r="AO7" s="2116" t="s">
        <v>66</v>
      </c>
      <c r="AP7" s="2296"/>
      <c r="AQ7" s="2116" t="s">
        <v>66</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559</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560</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485</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561</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488</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489</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66</v>
      </c>
      <c r="AP15" s="2276"/>
      <c r="AQ15" s="2277" t="s">
        <v>66</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490</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491</v>
      </c>
      <c r="P20" s="1371"/>
      <c r="Q20" s="1451"/>
      <c r="R20" s="1451"/>
      <c r="S20" s="738"/>
      <c r="T20" s="1169" t="s">
        <v>492</v>
      </c>
      <c r="W20" s="1375"/>
      <c r="X20" s="1375"/>
      <c r="Y20" s="1375"/>
      <c r="Z20" s="1375"/>
      <c r="AA20" s="1375"/>
      <c r="AD20" s="195" t="s">
        <v>493</v>
      </c>
      <c r="AF20" s="195" t="s">
        <v>494</v>
      </c>
      <c r="AG20" s="1169" t="s">
        <v>492</v>
      </c>
      <c r="AH20" s="1375"/>
      <c r="AI20" s="1375"/>
      <c r="AJ20" s="1375"/>
      <c r="AK20" s="1375"/>
      <c r="AL20" s="1375"/>
      <c r="AO20" s="195" t="s">
        <v>495</v>
      </c>
      <c r="AQ20" s="195" t="s">
        <v>494</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"СамРЭК-Тепло Жигулевск"</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496</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497</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498</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499</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500</v>
      </c>
      <c r="AG34" s="335"/>
      <c r="AH34" s="1644"/>
      <c r="AI34" s="1644"/>
      <c r="AJ34" s="1644"/>
      <c r="AK34" s="1644"/>
      <c r="AL34" s="1644"/>
      <c r="AM34" s="335"/>
      <c r="AN34" s="335"/>
      <c r="AO34" s="335"/>
      <c r="AP34" s="335"/>
      <c r="AQ34" s="287" t="s">
        <v>500</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373</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374</v>
      </c>
      <c r="AY36" s="1164">
        <v>14</v>
      </c>
    </row>
    <row customHeight="1" ht="14.699999999999998">
      <c r="Q37" s="385"/>
      <c r="R37" s="385"/>
      <c r="S37" s="2282" t="s">
        <v>88</v>
      </c>
      <c r="T37" s="2218" t="s">
        <v>501</v>
      </c>
      <c r="U37" s="310"/>
      <c r="V37" s="2283" t="s">
        <v>502</v>
      </c>
      <c r="W37" s="2284"/>
      <c r="X37" s="2284"/>
      <c r="Y37" s="2284"/>
      <c r="Z37" s="2284"/>
      <c r="AA37" s="2284"/>
      <c r="AB37" s="2284"/>
      <c r="AC37" s="2284"/>
      <c r="AD37" s="2284"/>
      <c r="AE37" s="2285"/>
      <c r="AF37" s="2286" t="s">
        <v>503</v>
      </c>
      <c r="AG37" s="2283" t="s">
        <v>502</v>
      </c>
      <c r="AH37" s="2284"/>
      <c r="AI37" s="2284"/>
      <c r="AJ37" s="2284"/>
      <c r="AK37" s="2284"/>
      <c r="AL37" s="2284"/>
      <c r="AM37" s="2284"/>
      <c r="AN37" s="2284"/>
      <c r="AO37" s="2284"/>
      <c r="AP37" s="2285"/>
      <c r="AQ37" s="2286" t="s">
        <v>504</v>
      </c>
      <c r="AR37" s="2289" t="s">
        <v>505</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605</v>
      </c>
      <c r="W38" s="2374" t="s">
        <v>606</v>
      </c>
      <c r="X38" s="2374"/>
      <c r="Y38" s="2374"/>
      <c r="Z38" s="2374" t="s">
        <v>607</v>
      </c>
      <c r="AA38" s="2374"/>
      <c r="AB38" s="2374"/>
      <c r="AC38" s="2303" t="s">
        <v>509</v>
      </c>
      <c r="AD38" s="2322"/>
      <c r="AE38" s="2323"/>
      <c r="AF38" s="2287"/>
      <c r="AG38" s="2375" t="s">
        <v>605</v>
      </c>
      <c r="AH38" s="2374" t="s">
        <v>606</v>
      </c>
      <c r="AI38" s="2374"/>
      <c r="AJ38" s="2374"/>
      <c r="AK38" s="2374" t="s">
        <v>607</v>
      </c>
      <c r="AL38" s="2374"/>
      <c r="AM38" s="2374"/>
      <c r="AN38" s="2303" t="s">
        <v>509</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608</v>
      </c>
      <c r="X39" s="2374" t="s">
        <v>609</v>
      </c>
      <c r="Y39" s="2374"/>
      <c r="Z39" s="2374" t="s">
        <v>610</v>
      </c>
      <c r="AA39" s="2374" t="s">
        <v>609</v>
      </c>
      <c r="AB39" s="2374"/>
      <c r="AC39" s="2304"/>
      <c r="AD39" s="2324"/>
      <c r="AE39" s="2325"/>
      <c r="AF39" s="2287"/>
      <c r="AG39" s="2375"/>
      <c r="AH39" s="2374" t="s">
        <v>608</v>
      </c>
      <c r="AI39" s="2374" t="s">
        <v>609</v>
      </c>
      <c r="AJ39" s="2374"/>
      <c r="AK39" s="2374" t="s">
        <v>610</v>
      </c>
      <c r="AL39" s="2374" t="s">
        <v>609</v>
      </c>
      <c r="AM39" s="2374"/>
      <c r="AN39" s="2304"/>
      <c r="AO39" s="2324"/>
      <c r="AP39" s="2325"/>
      <c r="AQ39" s="2287"/>
      <c r="AR39" s="2290"/>
      <c r="AS39" s="2136"/>
      <c r="AY39" s="1164">
        <v>19</v>
      </c>
    </row>
    <row customHeight="1" ht="61.949999999999996">
      <c r="A40" s="1379"/>
      <c r="B40" s="1379" t="s">
        <v>216</v>
      </c>
      <c r="C40" s="1379" t="s">
        <v>217</v>
      </c>
      <c r="D40" s="1379" t="s">
        <v>218</v>
      </c>
      <c r="E40" s="1373" t="s">
        <v>510</v>
      </c>
      <c r="F40" s="1373" t="s">
        <v>511</v>
      </c>
      <c r="G40" s="1373" t="s">
        <v>512</v>
      </c>
      <c r="H40" s="1373"/>
      <c r="I40" s="1373" t="s">
        <v>563</v>
      </c>
      <c r="J40" s="1373" t="s">
        <v>515</v>
      </c>
      <c r="K40" s="1373" t="s">
        <v>564</v>
      </c>
      <c r="L40" s="1373" t="s">
        <v>491</v>
      </c>
      <c r="Q40" s="385"/>
      <c r="R40" s="385"/>
      <c r="S40" s="2282"/>
      <c r="T40" s="2218"/>
      <c r="U40" s="311"/>
      <c r="V40" s="2375"/>
      <c r="W40" s="2374"/>
      <c r="X40" s="1992" t="s">
        <v>611</v>
      </c>
      <c r="Y40" s="1992" t="s">
        <v>612</v>
      </c>
      <c r="Z40" s="2374"/>
      <c r="AA40" s="1992" t="s">
        <v>613</v>
      </c>
      <c r="AB40" s="1992" t="s">
        <v>614</v>
      </c>
      <c r="AC40" s="1498" t="s">
        <v>519</v>
      </c>
      <c r="AD40" s="2279" t="s">
        <v>520</v>
      </c>
      <c r="AE40" s="2280"/>
      <c r="AF40" s="2288"/>
      <c r="AG40" s="2375"/>
      <c r="AH40" s="2374"/>
      <c r="AI40" s="1992" t="s">
        <v>611</v>
      </c>
      <c r="AJ40" s="1992" t="s">
        <v>612</v>
      </c>
      <c r="AK40" s="2374"/>
      <c r="AL40" s="1992" t="s">
        <v>613</v>
      </c>
      <c r="AM40" s="1992" t="s">
        <v>614</v>
      </c>
      <c r="AN40" s="1498" t="s">
        <v>519</v>
      </c>
      <c r="AO40" s="2279" t="s">
        <v>520</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109</v>
      </c>
      <c r="T41" s="1264" t="s">
        <v>110</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329</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204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329</v>
      </c>
      <c r="B43" s="1372" t="s">
        <v>330</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470</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471</v>
      </c>
      <c r="AU43" s="509"/>
      <c r="AV43" s="509" t="str">
        <f>IF(T43="","",T43)</f>
        <v>Территория действия тарифа</v>
      </c>
      <c r="AW43" s="509"/>
      <c r="AX43" s="509"/>
      <c r="AY43" s="1164">
        <v>23</v>
      </c>
    </row>
    <row customHeight="1" ht="24">
      <c r="A44" s="1372" t="s">
        <v>329</v>
      </c>
      <c r="B44" s="1372" t="s">
        <v>330</v>
      </c>
      <c r="C44" s="1372" t="s">
        <v>331</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603</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604</v>
      </c>
      <c r="AU44" s="509"/>
      <c r="AV44" s="509" t="str">
        <f>IF(T44="","",T44)</f>
        <v>Наименование централизованной системы горячего водоснабжения</v>
      </c>
      <c r="AW44" s="509"/>
      <c r="AX44" s="509"/>
      <c r="AY44" s="1164">
        <v>23</v>
      </c>
    </row>
    <row customHeight="1" ht="24">
      <c r="A45" s="1372" t="s">
        <v>329</v>
      </c>
      <c r="B45" s="1372" t="s">
        <v>330</v>
      </c>
      <c r="C45" s="1372" t="s">
        <v>331</v>
      </c>
      <c r="D45" s="1372" t="s">
        <v>616</v>
      </c>
      <c r="E45" s="2268"/>
      <c r="F45" s="2268"/>
      <c r="G45" s="2268"/>
      <c r="H45" s="2268"/>
      <c r="I45" s="2265" t="str">
        <f>S44&amp;".1"</f>
        <v>...1</v>
      </c>
      <c r="J45" s="1372"/>
      <c r="K45" s="1372"/>
      <c r="L45" s="1373"/>
      <c r="P45" s="2266">
        <v>1</v>
      </c>
      <c r="Q45" s="1490"/>
      <c r="R45" s="365"/>
      <c r="S45" s="1502" t="str">
        <f>$I45</f>
        <v>...1</v>
      </c>
      <c r="T45" s="294" t="s">
        <v>556</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557</v>
      </c>
      <c r="AU45" s="509"/>
      <c r="AV45" s="509" t="str">
        <f>IF(T45="","",T45)</f>
        <v>Наименование признака дифференциации</v>
      </c>
      <c r="AW45" s="509"/>
      <c r="AX45" s="509"/>
      <c r="AY45" s="1164">
        <v>23</v>
      </c>
    </row>
    <row customHeight="1" ht="24">
      <c r="A46" s="1372" t="s">
        <v>329</v>
      </c>
      <c r="B46" s="1372" t="s">
        <v>330</v>
      </c>
      <c r="C46" s="1372" t="s">
        <v>331</v>
      </c>
      <c r="D46" s="1372" t="s">
        <v>616</v>
      </c>
      <c r="E46" s="2268"/>
      <c r="F46" s="2268"/>
      <c r="G46" s="2268"/>
      <c r="H46" s="2268"/>
      <c r="I46" s="2295"/>
      <c r="J46" s="2265" t="str">
        <f>I45&amp;".1"</f>
        <v>...1.1</v>
      </c>
      <c r="K46" s="1372"/>
      <c r="L46" s="1373" t="s">
        <v>479</v>
      </c>
      <c r="P46" s="2266"/>
      <c r="Q46" s="2266">
        <v>1</v>
      </c>
      <c r="R46" s="366"/>
      <c r="S46" s="1502" t="str">
        <f>$J46</f>
        <v>...1.1</v>
      </c>
      <c r="T46" s="295" t="s">
        <v>480</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558</v>
      </c>
      <c r="AU46" s="509"/>
      <c r="AV46" s="509" t="str">
        <f>IF(T46="","",T46)</f>
        <v>Группа потребителей</v>
      </c>
      <c r="AW46" s="509"/>
      <c r="AX46" s="509"/>
      <c r="AY46" s="1164">
        <v>23</v>
      </c>
    </row>
    <row customHeight="1" ht="24">
      <c r="A47" s="1372" t="s">
        <v>329</v>
      </c>
      <c r="B47" s="1372" t="s">
        <v>330</v>
      </c>
      <c r="C47" s="1372" t="s">
        <v>331</v>
      </c>
      <c r="D47" s="1372" t="s">
        <v>616</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66</v>
      </c>
      <c r="AE47" s="2276"/>
      <c r="AF47" s="2277" t="s">
        <v>66</v>
      </c>
      <c r="AG47" s="760"/>
      <c r="AH47" s="760"/>
      <c r="AI47" s="760"/>
      <c r="AJ47" s="760"/>
      <c r="AK47" s="760"/>
      <c r="AL47" s="760"/>
      <c r="AM47" s="1266"/>
      <c r="AN47" s="2274"/>
      <c r="AO47" s="2116" t="s">
        <v>66</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329</v>
      </c>
      <c r="B48" s="1372" t="s">
        <v>330</v>
      </c>
      <c r="C48" s="1372" t="s">
        <v>331</v>
      </c>
      <c r="D48" s="1372" t="s">
        <v>616</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329</v>
      </c>
      <c r="B49" s="1372" t="s">
        <v>330</v>
      </c>
      <c r="C49" s="1372" t="s">
        <v>331</v>
      </c>
      <c r="D49" s="1372" t="s">
        <v>616</v>
      </c>
      <c r="E49" s="2268"/>
      <c r="F49" s="2268"/>
      <c r="G49" s="2268"/>
      <c r="H49" s="2268"/>
      <c r="I49" s="2295"/>
      <c r="J49" s="2265"/>
      <c r="K49" s="1372"/>
      <c r="L49" s="1373"/>
      <c r="P49" s="2266"/>
      <c r="Q49" s="2266"/>
      <c r="R49" s="365"/>
      <c r="S49" s="1287"/>
      <c r="T49" s="296" t="s">
        <v>559</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560</v>
      </c>
      <c r="AU49" s="509"/>
      <c r="AV49" s="509" t="str">
        <f>IF(T49="","",T49)</f>
        <v>Добавить значение признака дифференциации</v>
      </c>
      <c r="AW49" s="509"/>
      <c r="AX49" s="509"/>
      <c r="AY49" s="1164">
        <v>20</v>
      </c>
    </row>
    <row customHeight="1" ht="22.049999999999997">
      <c r="A50" s="1372" t="s">
        <v>329</v>
      </c>
      <c r="B50" s="1372" t="s">
        <v>330</v>
      </c>
      <c r="C50" s="1372" t="s">
        <v>331</v>
      </c>
      <c r="D50" s="1372" t="s">
        <v>616</v>
      </c>
      <c r="E50" s="2268"/>
      <c r="F50" s="2268"/>
      <c r="G50" s="2268"/>
      <c r="H50" s="2268"/>
      <c r="I50" s="2265"/>
      <c r="J50" s="1372"/>
      <c r="K50" s="1372"/>
      <c r="L50" s="1373"/>
      <c r="P50" s="2266"/>
      <c r="Q50" s="1490"/>
      <c r="R50" s="365"/>
      <c r="S50" s="1287"/>
      <c r="T50" s="374" t="s">
        <v>485</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329</v>
      </c>
      <c r="B51" s="1372" t="s">
        <v>330</v>
      </c>
      <c r="C51" s="1372" t="s">
        <v>331</v>
      </c>
      <c r="D51" s="1372" t="s">
        <v>616</v>
      </c>
      <c r="E51" s="2268"/>
      <c r="F51" s="2268"/>
      <c r="G51" s="2268"/>
      <c r="H51" s="2267"/>
      <c r="I51" s="1372"/>
      <c r="J51" s="1372"/>
      <c r="K51" s="1372"/>
      <c r="L51" s="1373"/>
      <c r="M51" s="1374"/>
      <c r="N51" s="1374"/>
      <c r="O51" s="546"/>
      <c r="P51" s="369"/>
      <c r="Q51" s="384"/>
      <c r="R51" s="364"/>
      <c r="S51" s="1287"/>
      <c r="T51" s="381" t="s">
        <v>561</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329</v>
      </c>
      <c r="B52" s="1352" t="s">
        <v>330</v>
      </c>
      <c r="C52" s="1323"/>
      <c r="D52" s="1323"/>
      <c r="E52" s="2268"/>
      <c r="F52" s="2267"/>
      <c r="G52" s="1323"/>
      <c r="H52" s="1323"/>
      <c r="I52" s="1323"/>
      <c r="J52" s="1323"/>
      <c r="K52" s="1323"/>
      <c r="L52" s="1503"/>
      <c r="M52" s="1330"/>
      <c r="N52" s="1330"/>
      <c r="P52" s="1325"/>
      <c r="Q52" s="1326"/>
      <c r="R52" s="1325"/>
      <c r="S52" s="1331"/>
      <c r="T52" s="1334" t="s">
        <v>488</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329</v>
      </c>
      <c r="B53" s="1352"/>
      <c r="C53" s="1352"/>
      <c r="D53" s="1352"/>
      <c r="E53" s="2267"/>
      <c r="F53" s="1352"/>
      <c r="G53" s="1352"/>
      <c r="H53" s="1352"/>
      <c r="I53" s="1352"/>
      <c r="J53" s="1352"/>
      <c r="K53" s="1352"/>
      <c r="L53" s="1355"/>
      <c r="M53" s="1330"/>
      <c r="N53" s="1330"/>
      <c r="O53" s="527"/>
      <c r="P53" s="389"/>
      <c r="Q53" s="1353"/>
      <c r="R53" s="389"/>
      <c r="S53" s="1331"/>
      <c r="T53" s="1334" t="s">
        <v>489</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521</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82</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B022CE-111E-3C9F-8EDB-0.7345100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204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470</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471</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603</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604</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475</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476</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66</v>
      </c>
      <c r="AB8" s="1743"/>
      <c r="AC8" s="1478" t="s">
        <v>66</v>
      </c>
      <c r="AD8" s="2194" t="s">
        <v>66</v>
      </c>
      <c r="AE8" s="2335"/>
      <c r="AF8" s="2214">
        <v>1</v>
      </c>
      <c r="AG8" s="2372"/>
      <c r="AH8" s="2116" t="s">
        <v>66</v>
      </c>
      <c r="AI8" s="2335"/>
      <c r="AJ8" s="2214">
        <v>1</v>
      </c>
      <c r="AK8" s="2336" t="s">
        <v>22</v>
      </c>
      <c r="AL8" s="2116" t="s">
        <v>66</v>
      </c>
      <c r="AM8" s="2201"/>
      <c r="AN8" s="2214">
        <v>1</v>
      </c>
      <c r="AO8" s="2366"/>
      <c r="AP8" s="2367" t="s">
        <v>66</v>
      </c>
      <c r="AQ8" s="320"/>
      <c r="AR8" s="1495">
        <v>1</v>
      </c>
      <c r="AS8" s="1501" t="s">
        <v>22</v>
      </c>
      <c r="AT8" s="760"/>
      <c r="AU8" s="1266"/>
      <c r="AV8" s="760"/>
      <c r="AW8" s="1266"/>
      <c r="AX8" s="1743"/>
      <c r="AY8" s="1478" t="s">
        <v>66</v>
      </c>
      <c r="AZ8" s="1743"/>
      <c r="BA8" s="1478" t="s">
        <v>66</v>
      </c>
      <c r="BB8" s="1357"/>
      <c r="BC8" s="2262" t="s">
        <v>574</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575</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576</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577</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578</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541</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488</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489</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66</v>
      </c>
      <c r="AZ20" s="1745"/>
      <c r="BA20" s="1494" t="s">
        <v>66</v>
      </c>
      <c r="BI20" s="1164">
        <v>0</v>
      </c>
    </row>
    <row customHeight="1" ht="14.25" hidden="1">
      <c r="BD21" s="505"/>
      <c r="BE21" s="505"/>
      <c r="BF21" s="505"/>
      <c r="BG21" s="505"/>
      <c r="BH21" s="505"/>
      <c r="BI21" s="1164">
        <v>0</v>
      </c>
    </row>
    <row customHeight="1" ht="14.25" hidden="1">
      <c r="O22" s="1376" t="s">
        <v>490</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491</v>
      </c>
      <c r="P24" s="1517"/>
      <c r="Q24" s="1519"/>
      <c r="R24" s="1519"/>
      <c r="AA24" s="1516" t="s">
        <v>493</v>
      </c>
      <c r="AC24" s="1516" t="s">
        <v>494</v>
      </c>
      <c r="AD24" s="1516" t="s">
        <v>542</v>
      </c>
      <c r="AH24" s="1516" t="s">
        <v>542</v>
      </c>
      <c r="AK24" s="1516" t="s">
        <v>579</v>
      </c>
      <c r="AL24" s="1516" t="s">
        <v>542</v>
      </c>
      <c r="AP24" s="1516" t="s">
        <v>542</v>
      </c>
      <c r="AY24" s="1516" t="s">
        <v>493</v>
      </c>
      <c r="BA24" s="1516" t="s">
        <v>494</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"СамРЭК-Тепло Жигулевск"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496</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497</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496</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497</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500</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500</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373</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374</v>
      </c>
      <c r="BI40" s="1164">
        <v>14</v>
      </c>
    </row>
    <row customHeight="1" ht="14.699999999999998">
      <c r="Q41" s="300"/>
      <c r="R41" s="385"/>
      <c r="S41" s="2282" t="s">
        <v>88</v>
      </c>
      <c r="T41" s="2218" t="s">
        <v>580</v>
      </c>
      <c r="U41" s="310"/>
      <c r="V41" s="2283" t="s">
        <v>502</v>
      </c>
      <c r="W41" s="2284"/>
      <c r="X41" s="2284"/>
      <c r="Y41" s="2284"/>
      <c r="Z41" s="2284"/>
      <c r="AA41" s="2284"/>
      <c r="AB41" s="2285"/>
      <c r="AC41" s="2286" t="s">
        <v>503</v>
      </c>
      <c r="AD41" s="2337" t="s">
        <v>581</v>
      </c>
      <c r="AE41" s="2300"/>
      <c r="AF41" s="2300"/>
      <c r="AG41" s="2338"/>
      <c r="AH41" s="2337" t="s">
        <v>582</v>
      </c>
      <c r="AI41" s="2300"/>
      <c r="AJ41" s="2300"/>
      <c r="AK41" s="2338"/>
      <c r="AL41" s="2337" t="s">
        <v>583</v>
      </c>
      <c r="AM41" s="2300"/>
      <c r="AN41" s="2300"/>
      <c r="AO41" s="2338"/>
      <c r="AP41" s="2337" t="s">
        <v>584</v>
      </c>
      <c r="AQ41" s="2300"/>
      <c r="AR41" s="2300"/>
      <c r="AS41" s="2338"/>
      <c r="AT41" s="2283" t="s">
        <v>502</v>
      </c>
      <c r="AU41" s="2284"/>
      <c r="AV41" s="2284"/>
      <c r="AW41" s="2284"/>
      <c r="AX41" s="2284"/>
      <c r="AY41" s="2284"/>
      <c r="AZ41" s="2285"/>
      <c r="BA41" s="2286" t="s">
        <v>503</v>
      </c>
      <c r="BB41" s="2289" t="s">
        <v>505</v>
      </c>
      <c r="BC41" s="2136"/>
      <c r="BI41" s="1164">
        <v>14</v>
      </c>
    </row>
    <row customHeight="1" ht="35.699999999999996">
      <c r="Q42" s="300"/>
      <c r="R42" s="385"/>
      <c r="S42" s="2282"/>
      <c r="T42" s="2218"/>
      <c r="U42" s="1040"/>
      <c r="V42" s="2201" t="s">
        <v>585</v>
      </c>
      <c r="W42" s="2202"/>
      <c r="X42" s="2201" t="s">
        <v>586</v>
      </c>
      <c r="Y42" s="2202"/>
      <c r="Z42" s="2303" t="s">
        <v>587</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585</v>
      </c>
      <c r="AU42" s="2202"/>
      <c r="AV42" s="2201" t="s">
        <v>586</v>
      </c>
      <c r="AW42" s="2202"/>
      <c r="AX42" s="2303" t="s">
        <v>587</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216</v>
      </c>
      <c r="C44" s="1379" t="s">
        <v>217</v>
      </c>
      <c r="D44" s="1379" t="s">
        <v>218</v>
      </c>
      <c r="E44" s="1373" t="s">
        <v>510</v>
      </c>
      <c r="F44" s="1373" t="s">
        <v>511</v>
      </c>
      <c r="G44" s="1373" t="s">
        <v>512</v>
      </c>
      <c r="H44" s="1373" t="s">
        <v>513</v>
      </c>
      <c r="I44" s="1373" t="s">
        <v>514</v>
      </c>
      <c r="J44" s="1373" t="s">
        <v>515</v>
      </c>
      <c r="K44" s="1373" t="s">
        <v>516</v>
      </c>
      <c r="L44" s="1373" t="s">
        <v>491</v>
      </c>
      <c r="Q44" s="300"/>
      <c r="R44" s="385"/>
      <c r="S44" s="2282"/>
      <c r="T44" s="2218"/>
      <c r="U44" s="311"/>
      <c r="V44" s="1488" t="s">
        <v>551</v>
      </c>
      <c r="W44" s="1488" t="s">
        <v>552</v>
      </c>
      <c r="X44" s="1488" t="s">
        <v>551</v>
      </c>
      <c r="Y44" s="1488" t="s">
        <v>552</v>
      </c>
      <c r="Z44" s="1498" t="s">
        <v>519</v>
      </c>
      <c r="AA44" s="2279" t="s">
        <v>520</v>
      </c>
      <c r="AB44" s="2280"/>
      <c r="AC44" s="2288"/>
      <c r="AD44" s="2342"/>
      <c r="AE44" s="2343"/>
      <c r="AF44" s="2343"/>
      <c r="AG44" s="2344"/>
      <c r="AH44" s="2342"/>
      <c r="AI44" s="2343"/>
      <c r="AJ44" s="2343"/>
      <c r="AK44" s="2344"/>
      <c r="AL44" s="2342"/>
      <c r="AM44" s="2343"/>
      <c r="AN44" s="2343"/>
      <c r="AO44" s="2344"/>
      <c r="AP44" s="2342"/>
      <c r="AQ44" s="2343"/>
      <c r="AR44" s="2343"/>
      <c r="AS44" s="2344"/>
      <c r="AT44" s="1488" t="s">
        <v>551</v>
      </c>
      <c r="AU44" s="1488" t="s">
        <v>552</v>
      </c>
      <c r="AV44" s="1488" t="s">
        <v>551</v>
      </c>
      <c r="AW44" s="1488" t="s">
        <v>552</v>
      </c>
      <c r="AX44" s="1498" t="s">
        <v>519</v>
      </c>
      <c r="AY44" s="2279" t="s">
        <v>520</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334</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204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334</v>
      </c>
      <c r="B47" s="1372" t="s">
        <v>335</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470</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471</v>
      </c>
      <c r="BE47" s="509"/>
      <c r="BF47" s="509" t="str">
        <f>IF(T47="","",T47)</f>
        <v>Территория действия тарифа</v>
      </c>
      <c r="BG47" s="509"/>
      <c r="BH47" s="509"/>
      <c r="BI47" s="1164">
        <v>21</v>
      </c>
    </row>
    <row customHeight="1" ht="35.699999999999996">
      <c r="A48" s="1372" t="s">
        <v>334</v>
      </c>
      <c r="B48" s="1372" t="s">
        <v>335</v>
      </c>
      <c r="C48" s="1372" t="s">
        <v>336</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603</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604</v>
      </c>
      <c r="BE48" s="509"/>
      <c r="BF48" s="509" t="str">
        <f>IF(T48="","",T48)</f>
        <v>Наименование централизованной системы горячего водоснабжения</v>
      </c>
      <c r="BG48" s="509"/>
      <c r="BH48" s="509"/>
      <c r="BI48" s="1164">
        <v>34</v>
      </c>
    </row>
    <row s="1651" customFormat="1" customHeight="1" ht="0">
      <c r="A49" s="1352" t="s">
        <v>334</v>
      </c>
      <c r="B49" s="1352" t="s">
        <v>335</v>
      </c>
      <c r="C49" s="1352" t="s">
        <v>336</v>
      </c>
      <c r="D49" s="1352" t="s">
        <v>617</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475</v>
      </c>
      <c r="BE49" s="509"/>
      <c r="BF49" s="509" t="str">
        <f>IF(T49="","",T49)</f>
        <v/>
      </c>
      <c r="BG49" s="509"/>
      <c r="BH49" s="509"/>
      <c r="BI49" s="520">
        <v>0</v>
      </c>
    </row>
    <row s="1651" customFormat="1" customHeight="1" ht="0">
      <c r="A50" s="1352" t="s">
        <v>334</v>
      </c>
      <c r="B50" s="1352" t="s">
        <v>335</v>
      </c>
      <c r="C50" s="1352" t="s">
        <v>336</v>
      </c>
      <c r="D50" s="1352" t="s">
        <v>617</v>
      </c>
      <c r="E50" s="2268"/>
      <c r="F50" s="2268"/>
      <c r="G50" s="2268"/>
      <c r="H50" s="2268"/>
      <c r="I50" s="2265" t="str">
        <f>S49&amp;".1"</f>
        <v>.1</v>
      </c>
      <c r="J50" s="1352"/>
      <c r="K50" s="1352"/>
      <c r="L50" s="1355" t="s">
        <v>476</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334</v>
      </c>
      <c r="B51" s="1352" t="s">
        <v>335</v>
      </c>
      <c r="C51" s="1352" t="s">
        <v>336</v>
      </c>
      <c r="D51" s="1352" t="s">
        <v>617</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334</v>
      </c>
      <c r="B52" s="1372" t="s">
        <v>335</v>
      </c>
      <c r="C52" s="1372" t="s">
        <v>336</v>
      </c>
      <c r="D52" s="1372" t="s">
        <v>617</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66</v>
      </c>
      <c r="AB52" s="1743"/>
      <c r="AC52" s="1478" t="s">
        <v>66</v>
      </c>
      <c r="AD52" s="2194" t="s">
        <v>66</v>
      </c>
      <c r="AE52" s="2335"/>
      <c r="AF52" s="2214">
        <v>1</v>
      </c>
      <c r="AG52" s="2372"/>
      <c r="AH52" s="2116" t="s">
        <v>66</v>
      </c>
      <c r="AI52" s="2335"/>
      <c r="AJ52" s="2214">
        <v>1</v>
      </c>
      <c r="AK52" s="2336" t="s">
        <v>22</v>
      </c>
      <c r="AL52" s="2116" t="s">
        <v>66</v>
      </c>
      <c r="AM52" s="2201"/>
      <c r="AN52" s="2214">
        <v>1</v>
      </c>
      <c r="AO52" s="2366"/>
      <c r="AP52" s="2367" t="s">
        <v>66</v>
      </c>
      <c r="AQ52" s="320"/>
      <c r="AR52" s="1495">
        <v>1</v>
      </c>
      <c r="AS52" s="1501" t="s">
        <v>22</v>
      </c>
      <c r="AT52" s="760"/>
      <c r="AU52" s="1266"/>
      <c r="AV52" s="760"/>
      <c r="AW52" s="1266"/>
      <c r="AX52" s="1743"/>
      <c r="AY52" s="1478" t="s">
        <v>66</v>
      </c>
      <c r="AZ52" s="1743"/>
      <c r="BA52" s="1478" t="s">
        <v>66</v>
      </c>
      <c r="BB52" s="1357"/>
      <c r="BC52" s="2262" t="s">
        <v>574</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575</v>
      </c>
      <c r="AT53" s="1402"/>
      <c r="AU53" s="1505"/>
      <c r="AV53" s="1402"/>
      <c r="AW53" s="1505"/>
      <c r="AX53" s="1402"/>
      <c r="AY53" s="1402"/>
      <c r="AZ53" s="1402"/>
      <c r="BA53" s="1402"/>
      <c r="BB53" s="1406"/>
      <c r="BC53" s="2263"/>
      <c r="BE53" s="509"/>
      <c r="BF53" s="509"/>
      <c r="BG53" s="509"/>
      <c r="BH53" s="509"/>
      <c r="BI53" s="1164">
        <v>11</v>
      </c>
    </row>
    <row customHeight="1" ht="11.549999999999999">
      <c r="A54" s="1372" t="s">
        <v>334</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576</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334</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577</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334</v>
      </c>
      <c r="B56" s="1372" t="s">
        <v>335</v>
      </c>
      <c r="C56" s="1372" t="s">
        <v>336</v>
      </c>
      <c r="D56" s="1372" t="s">
        <v>617</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578</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334</v>
      </c>
      <c r="B57" s="1372" t="s">
        <v>335</v>
      </c>
      <c r="C57" s="1372" t="s">
        <v>336</v>
      </c>
      <c r="D57" s="1372" t="s">
        <v>617</v>
      </c>
      <c r="E57" s="2268"/>
      <c r="F57" s="2268"/>
      <c r="G57" s="2268"/>
      <c r="H57" s="2268"/>
      <c r="I57" s="2295"/>
      <c r="J57" s="2265"/>
      <c r="K57" s="1372"/>
      <c r="L57" s="1373"/>
      <c r="P57" s="2266"/>
      <c r="Q57" s="2266"/>
      <c r="R57" s="365"/>
      <c r="S57" s="1287"/>
      <c r="T57" s="296" t="s">
        <v>541</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334</v>
      </c>
      <c r="B58" s="1352" t="s">
        <v>335</v>
      </c>
      <c r="C58" s="1352" t="s">
        <v>336</v>
      </c>
      <c r="D58" s="1352" t="s">
        <v>617</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334</v>
      </c>
      <c r="B59" s="1352" t="s">
        <v>335</v>
      </c>
      <c r="C59" s="1352" t="s">
        <v>336</v>
      </c>
      <c r="D59" s="1352" t="s">
        <v>617</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334</v>
      </c>
      <c r="B60" s="1352" t="s">
        <v>335</v>
      </c>
      <c r="C60" s="1352" t="s">
        <v>336</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334</v>
      </c>
      <c r="B61" s="1352" t="s">
        <v>335</v>
      </c>
      <c r="C61" s="1323"/>
      <c r="D61" s="1323"/>
      <c r="E61" s="2268"/>
      <c r="F61" s="2267"/>
      <c r="G61" s="1323"/>
      <c r="H61" s="1323"/>
      <c r="I61" s="1323"/>
      <c r="J61" s="1323"/>
      <c r="K61" s="1323"/>
      <c r="L61" s="1503"/>
      <c r="M61" s="1330"/>
      <c r="N61" s="1330"/>
      <c r="P61" s="1325"/>
      <c r="Q61" s="1326"/>
      <c r="R61" s="1325"/>
      <c r="S61" s="1331"/>
      <c r="T61" s="1334" t="s">
        <v>488</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334</v>
      </c>
      <c r="B62" s="1352"/>
      <c r="C62" s="1352"/>
      <c r="D62" s="1352"/>
      <c r="E62" s="2267"/>
      <c r="F62" s="1352"/>
      <c r="G62" s="1352"/>
      <c r="H62" s="1352"/>
      <c r="I62" s="1352"/>
      <c r="J62" s="1352"/>
      <c r="K62" s="1352"/>
      <c r="L62" s="1355"/>
      <c r="M62" s="1330"/>
      <c r="N62" s="1330"/>
      <c r="O62" s="527"/>
      <c r="P62" s="389"/>
      <c r="Q62" s="1353"/>
      <c r="R62" s="389"/>
      <c r="S62" s="1331"/>
      <c r="T62" s="1334" t="s">
        <v>489</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521</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82</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028643-09ED-CFDC-1C7B-0.CFE8CC1C}" mc:Ignorable="x14ac xr xr2 xr3">
  <sheetPr>
    <tabColor theme="9" tint="-0.25"/>
  </sheetPr>
  <dimension ref="A1:BJ303"/>
  <sheetViews>
    <sheetView topLeftCell="A1" showGridLines="0" zoomScale="90" workbookViewId="0">
      <selection activeCell="AN24" sqref="AN24"/>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39" style="1644" width="40.7109375" customWidth="1"/>
    <col min="40" max="40" style="1644" width="102.00390625" customWidth="1"/>
    <col min="41" max="41" style="1375" width="9.00390625" customWidth="1"/>
    <col min="42" max="42" style="1651" width="5.00390625" customWidth="1"/>
    <col min="43" max="43" style="1651" width="3.00390625" customWidth="1"/>
    <col min="44" max="47" style="1375" width="3.00390625" customWidth="1"/>
    <col min="48" max="48" style="1651" width="10.00390625" customWidth="1"/>
    <col min="49" max="49" style="1375" width="34.00390625" customWidth="1"/>
    <col min="50" max="50" style="1375" width="9.00390625" customWidth="1"/>
    <col min="51" max="51" style="745" width="8.00390625" customWidth="1"/>
    <col min="52" max="56" style="1375" width="8.00390625" customWidth="1"/>
    <col min="57" max="61" style="1641" width="8.00390625" customWidth="1"/>
    <col min="62" max="62" style="1644" width="9.140625" hidden="1"/>
  </cols>
  <sheetData>
    <row customHeight="1" ht="22.5" hidden="1">
      <c r="J1" s="1644"/>
      <c r="K1" s="1644"/>
      <c r="L1" s="1644"/>
      <c r="M1" s="1644"/>
      <c r="N1" s="1644"/>
      <c r="O1" s="1644"/>
      <c r="P1" s="1644"/>
      <c r="Q1" s="1644"/>
      <c r="R1" s="1644"/>
      <c r="S1" s="1644"/>
      <c r="T1" s="1644"/>
      <c r="U1" s="1644"/>
      <c r="V1" s="1644"/>
      <c r="W1" s="1644"/>
      <c r="X1" s="1644"/>
      <c r="Y1" s="1644"/>
      <c r="Z1" s="1644"/>
      <c r="AA1" s="1644"/>
      <c r="AB1" s="1644"/>
      <c r="AC1" s="1644"/>
      <c r="AD1" s="1644"/>
      <c r="AE1" s="1644"/>
      <c r="AF1" s="1644"/>
      <c r="AG1" s="1644"/>
      <c r="AH1" s="1644"/>
      <c r="AI1" s="1644"/>
      <c r="AJ1" s="1644"/>
      <c r="AK1" s="1644"/>
      <c r="AL1" s="1644"/>
      <c r="AM1" s="1644"/>
      <c r="BJ1" s="1640" t="s">
        <v>14</v>
      </c>
    </row>
    <row customHeight="1" ht="23.25" hidden="1">
      <c r="B2" s="2108"/>
      <c r="C2" s="1176" t="s">
        <v>618</v>
      </c>
      <c r="D2" s="1647"/>
      <c r="E2" s="555">
        <f>B2</f>
        <v>0</v>
      </c>
      <c r="F2" s="556"/>
      <c r="G2" s="1655" t="s">
        <v>619</v>
      </c>
      <c r="H2" s="1655" t="s">
        <v>619</v>
      </c>
      <c r="I2" s="1655" t="s">
        <v>619</v>
      </c>
      <c r="J2" s="2321" t="s">
        <v>619</v>
      </c>
      <c r="K2" s="2321" t="s">
        <v>619</v>
      </c>
      <c r="L2" s="2321" t="s">
        <v>619</v>
      </c>
      <c r="M2" s="2321" t="s">
        <v>619</v>
      </c>
      <c r="N2" s="2321" t="s">
        <v>619</v>
      </c>
      <c r="O2" s="2321" t="s">
        <v>619</v>
      </c>
      <c r="P2" s="2321" t="s">
        <v>619</v>
      </c>
      <c r="Q2" s="2321" t="s">
        <v>619</v>
      </c>
      <c r="R2" s="2321" t="s">
        <v>619</v>
      </c>
      <c r="S2" s="2321" t="s">
        <v>619</v>
      </c>
      <c r="T2" s="2321" t="s">
        <v>619</v>
      </c>
      <c r="U2" s="2321" t="s">
        <v>619</v>
      </c>
      <c r="V2" s="2321" t="s">
        <v>619</v>
      </c>
      <c r="W2" s="2321" t="s">
        <v>619</v>
      </c>
      <c r="X2" s="2321" t="s">
        <v>619</v>
      </c>
      <c r="Y2" s="2321" t="s">
        <v>619</v>
      </c>
      <c r="Z2" s="2321" t="s">
        <v>619</v>
      </c>
      <c r="AA2" s="2321" t="s">
        <v>619</v>
      </c>
      <c r="AB2" s="2321" t="s">
        <v>619</v>
      </c>
      <c r="AC2" s="2321" t="s">
        <v>619</v>
      </c>
      <c r="AD2" s="2321" t="s">
        <v>619</v>
      </c>
      <c r="AE2" s="2321" t="s">
        <v>619</v>
      </c>
      <c r="AF2" s="2321" t="s">
        <v>619</v>
      </c>
      <c r="AG2" s="2321" t="s">
        <v>619</v>
      </c>
      <c r="AH2" s="2321" t="s">
        <v>619</v>
      </c>
      <c r="AI2" s="2321" t="s">
        <v>619</v>
      </c>
      <c r="AJ2" s="2321" t="s">
        <v>619</v>
      </c>
      <c r="AK2" s="2375" t="s">
        <v>619</v>
      </c>
      <c r="AL2" s="2375" t="s">
        <v>619</v>
      </c>
      <c r="AM2" s="2375" t="s">
        <v>619</v>
      </c>
      <c r="AN2" s="298" t="s">
        <v>620</v>
      </c>
      <c r="AO2" s="552"/>
      <c r="BJ2" s="1640">
        <v>0</v>
      </c>
    </row>
    <row s="1651" customFormat="1" customHeight="1" ht="0.75" hidden="1">
      <c r="B3" s="2108"/>
      <c r="C3" s="1176"/>
      <c r="D3" s="557"/>
      <c r="E3" s="558"/>
      <c r="F3" s="559" t="s">
        <v>621</v>
      </c>
      <c r="G3" s="560"/>
      <c r="H3" s="560">
        <f>H4*H5+H7</f>
        <v>0</v>
      </c>
      <c r="I3" s="560">
        <f>I4*I5+I6</f>
        <v>0</v>
      </c>
      <c r="J3" s="1382">
        <f>J4*J5+J7</f>
        <v>0</v>
      </c>
      <c r="K3" s="1382">
        <f>K4*K5+K7</f>
        <v>0</v>
      </c>
      <c r="L3" s="1382">
        <f>L4*L5+L7</f>
        <v>0</v>
      </c>
      <c r="M3" s="1382">
        <f>M4*M5+M7</f>
        <v>0</v>
      </c>
      <c r="N3" s="1382">
        <f>N4*N5+N7</f>
        <v>0</v>
      </c>
      <c r="O3" s="1382">
        <f>O4*O5+O7</f>
        <v>0</v>
      </c>
      <c r="P3" s="1382">
        <f>P4*P5+P7</f>
        <v>0</v>
      </c>
      <c r="Q3" s="1382">
        <f>Q4*Q5+Q7</f>
        <v>0</v>
      </c>
      <c r="R3" s="1382">
        <f>R4*R5+R7</f>
        <v>0</v>
      </c>
      <c r="S3" s="1382">
        <f>S4*S5+S7</f>
        <v>0</v>
      </c>
      <c r="T3" s="1382">
        <f>T4*T5+T7</f>
        <v>0</v>
      </c>
      <c r="U3" s="1382">
        <f>U4*U5+U7</f>
        <v>0</v>
      </c>
      <c r="V3" s="1382">
        <f>V4*V5+V7</f>
        <v>0</v>
      </c>
      <c r="W3" s="1382">
        <f>W4*W5+W7</f>
        <v>0</v>
      </c>
      <c r="X3" s="1382">
        <f>X4*X5+X7</f>
        <v>0</v>
      </c>
      <c r="Y3" s="1382">
        <f>Y4*Y5+Y7</f>
        <v>0</v>
      </c>
      <c r="Z3" s="1382">
        <f>Z4*Z5+Z7</f>
        <v>0</v>
      </c>
      <c r="AA3" s="1382">
        <f>AA4*AA5+AA7</f>
        <v>0</v>
      </c>
      <c r="AB3" s="1382">
        <f>AB4*AB5+AB7</f>
        <v>0</v>
      </c>
      <c r="AC3" s="1382">
        <f>AC4*AC5+AC7</f>
        <v>0</v>
      </c>
      <c r="AD3" s="1382">
        <f>AD4*AD5+AD7</f>
        <v>0</v>
      </c>
      <c r="AE3" s="1382">
        <f>AE4*AE5+AE7</f>
        <v>0</v>
      </c>
      <c r="AF3" s="1382">
        <f>AF4*AF5+AF7</f>
        <v>0</v>
      </c>
      <c r="AG3" s="1382">
        <f>AG4*AG5+AG7</f>
        <v>0</v>
      </c>
      <c r="AH3" s="1382">
        <f>AH4*AH5+AH7</f>
        <v>0</v>
      </c>
      <c r="AI3" s="1382">
        <f>AI4*AI5+AI7</f>
        <v>0</v>
      </c>
      <c r="AJ3" s="1382">
        <f>AJ4*AJ5+AJ7</f>
        <v>0</v>
      </c>
      <c r="AK3" s="1382">
        <f>AK4*AK5+AK7</f>
        <v>0</v>
      </c>
      <c r="AL3" s="1382">
        <f>AL4*AL5+AL7</f>
        <v>0</v>
      </c>
      <c r="AM3" s="1382">
        <f>AM4*AM5+AM7</f>
        <v>0</v>
      </c>
      <c r="AN3" s="561"/>
      <c r="BJ3" s="1645">
        <v>0</v>
      </c>
    </row>
    <row customHeight="1" ht="23.25" hidden="1">
      <c r="B4" s="2108"/>
      <c r="C4" s="1176"/>
      <c r="D4" s="1647"/>
      <c r="E4" s="555" t="str">
        <f>B2&amp;".1"</f>
        <v>.1</v>
      </c>
      <c r="F4" s="562" t="s">
        <v>622</v>
      </c>
      <c r="G4" s="563"/>
      <c r="H4" s="550"/>
      <c r="I4" s="55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760"/>
      <c r="AK4" s="760"/>
      <c r="AL4" s="760"/>
      <c r="AM4" s="760"/>
      <c r="AN4" s="298" t="s">
        <v>623</v>
      </c>
      <c r="AO4" s="552"/>
      <c r="BJ4" s="1640">
        <v>0</v>
      </c>
    </row>
    <row customHeight="1" ht="18.75" hidden="1">
      <c r="B5" s="2108"/>
      <c r="C5" s="1176"/>
      <c r="D5" s="1647"/>
      <c r="E5" s="555" t="str">
        <f>B2&amp;".2"</f>
        <v>.2</v>
      </c>
      <c r="F5" s="562" t="s">
        <v>624</v>
      </c>
      <c r="G5" s="1655" t="s">
        <v>625</v>
      </c>
      <c r="H5" s="550"/>
      <c r="I5" s="550"/>
      <c r="J5" s="760"/>
      <c r="K5" s="760"/>
      <c r="L5" s="760"/>
      <c r="M5" s="760"/>
      <c r="N5" s="760"/>
      <c r="O5" s="760"/>
      <c r="P5" s="760"/>
      <c r="Q5" s="760"/>
      <c r="R5" s="760"/>
      <c r="S5" s="760"/>
      <c r="T5" s="760"/>
      <c r="U5" s="760"/>
      <c r="V5" s="760"/>
      <c r="W5" s="760"/>
      <c r="X5" s="760"/>
      <c r="Y5" s="760"/>
      <c r="Z5" s="760"/>
      <c r="AA5" s="760"/>
      <c r="AB5" s="760"/>
      <c r="AC5" s="760"/>
      <c r="AD5" s="760"/>
      <c r="AE5" s="760"/>
      <c r="AF5" s="760"/>
      <c r="AG5" s="760"/>
      <c r="AH5" s="760"/>
      <c r="AI5" s="760"/>
      <c r="AJ5" s="760"/>
      <c r="AK5" s="760"/>
      <c r="AL5" s="760"/>
      <c r="AM5" s="760"/>
      <c r="AN5" s="298"/>
      <c r="AO5" s="552"/>
      <c r="BJ5" s="1640">
        <v>0</v>
      </c>
    </row>
    <row customHeight="1" ht="18.75" hidden="1">
      <c r="B6" s="2108"/>
      <c r="C6" s="1176"/>
      <c r="D6" s="1647"/>
      <c r="E6" s="555" t="str">
        <f>B2&amp;".3"</f>
        <v>.3</v>
      </c>
      <c r="F6" s="562" t="s">
        <v>626</v>
      </c>
      <c r="G6" s="1655" t="s">
        <v>625</v>
      </c>
      <c r="H6" s="550"/>
      <c r="I6" s="550"/>
      <c r="J6" s="760"/>
      <c r="K6" s="760"/>
      <c r="L6" s="760"/>
      <c r="M6" s="760"/>
      <c r="N6" s="760"/>
      <c r="O6" s="760"/>
      <c r="P6" s="760"/>
      <c r="Q6" s="760"/>
      <c r="R6" s="760"/>
      <c r="S6" s="760"/>
      <c r="T6" s="760"/>
      <c r="U6" s="760"/>
      <c r="V6" s="760"/>
      <c r="W6" s="760"/>
      <c r="X6" s="760"/>
      <c r="Y6" s="760"/>
      <c r="Z6" s="760"/>
      <c r="AA6" s="760"/>
      <c r="AB6" s="760"/>
      <c r="AC6" s="760"/>
      <c r="AD6" s="760"/>
      <c r="AE6" s="760"/>
      <c r="AF6" s="760"/>
      <c r="AG6" s="760"/>
      <c r="AH6" s="760"/>
      <c r="AI6" s="760"/>
      <c r="AJ6" s="760"/>
      <c r="AK6" s="760"/>
      <c r="AL6" s="760"/>
      <c r="AM6" s="760"/>
      <c r="AN6" s="298"/>
      <c r="AO6" s="552"/>
      <c r="BJ6" s="1640">
        <v>0</v>
      </c>
    </row>
    <row customHeight="1" ht="18.75" hidden="1">
      <c r="B7" s="2108"/>
      <c r="C7" s="1176"/>
      <c r="D7" s="1647"/>
      <c r="E7" s="555" t="str">
        <f>B2&amp;".4"</f>
        <v>.4</v>
      </c>
      <c r="F7" s="562" t="s">
        <v>627</v>
      </c>
      <c r="G7" s="1655" t="s">
        <v>619</v>
      </c>
      <c r="H7" s="564"/>
      <c r="I7" s="564"/>
      <c r="J7" s="564"/>
      <c r="K7" s="564"/>
      <c r="L7" s="564"/>
      <c r="M7" s="564"/>
      <c r="N7" s="564"/>
      <c r="O7" s="564"/>
      <c r="P7" s="564"/>
      <c r="Q7" s="564"/>
      <c r="R7" s="564"/>
      <c r="S7" s="564"/>
      <c r="T7" s="564"/>
      <c r="U7" s="564"/>
      <c r="V7" s="564"/>
      <c r="W7" s="564"/>
      <c r="X7" s="564"/>
      <c r="Y7" s="564"/>
      <c r="Z7" s="564"/>
      <c r="AA7" s="564"/>
      <c r="AB7" s="564"/>
      <c r="AC7" s="564"/>
      <c r="AD7" s="564"/>
      <c r="AE7" s="564"/>
      <c r="AF7" s="564"/>
      <c r="AG7" s="564"/>
      <c r="AH7" s="564"/>
      <c r="AI7" s="564"/>
      <c r="AJ7" s="564"/>
      <c r="AK7" s="564"/>
      <c r="AL7" s="564"/>
      <c r="AM7" s="564"/>
      <c r="AN7" s="298"/>
      <c r="AO7" s="552"/>
      <c r="BJ7" s="1640">
        <v>0</v>
      </c>
    </row>
    <row s="1375" customFormat="1" customHeight="1" ht="11.25" hidden="1">
      <c r="A8" s="996"/>
      <c r="C8" s="1645"/>
      <c r="D8" s="546"/>
      <c r="H8" s="1169">
        <v>4</v>
      </c>
      <c r="I8" s="1169">
        <v>4</v>
      </c>
      <c r="J8" s="1375">
        <v>4</v>
      </c>
      <c r="K8" s="1375">
        <v>4</v>
      </c>
      <c r="L8" s="1375">
        <v>4</v>
      </c>
      <c r="M8" s="1375">
        <v>4</v>
      </c>
      <c r="N8" s="1375">
        <v>4</v>
      </c>
      <c r="O8" s="1375">
        <v>4</v>
      </c>
      <c r="P8" s="1375">
        <v>4</v>
      </c>
      <c r="Q8" s="1375">
        <v>4</v>
      </c>
      <c r="R8" s="1375">
        <v>4</v>
      </c>
      <c r="S8" s="1375">
        <v>4</v>
      </c>
      <c r="T8" s="1375">
        <v>4</v>
      </c>
      <c r="U8" s="1375">
        <v>4</v>
      </c>
      <c r="V8" s="1375">
        <v>4</v>
      </c>
      <c r="W8" s="1375">
        <v>4</v>
      </c>
      <c r="X8" s="1375">
        <v>4</v>
      </c>
      <c r="Y8" s="1375">
        <v>4</v>
      </c>
      <c r="Z8" s="1375">
        <v>4</v>
      </c>
      <c r="AA8" s="1375">
        <v>4</v>
      </c>
      <c r="AB8" s="1375">
        <v>4</v>
      </c>
      <c r="AC8" s="1375">
        <v>4</v>
      </c>
      <c r="AD8" s="1375">
        <v>4</v>
      </c>
      <c r="AE8" s="1375">
        <v>4</v>
      </c>
      <c r="AF8" s="1375">
        <v>4</v>
      </c>
      <c r="AG8" s="1375">
        <v>4</v>
      </c>
      <c r="AH8" s="1375">
        <v>4</v>
      </c>
      <c r="AI8" s="1375">
        <v>4</v>
      </c>
      <c r="AJ8" s="1375">
        <v>4</v>
      </c>
      <c r="AK8" s="1375">
        <v>4</v>
      </c>
      <c r="AL8" s="1375">
        <v>4</v>
      </c>
      <c r="AM8" s="1375">
        <v>4</v>
      </c>
      <c r="AP8" s="1645"/>
      <c r="AQ8" s="1645"/>
      <c r="AV8" s="1645"/>
      <c r="BJ8" s="1169">
        <v>0</v>
      </c>
    </row>
    <row s="1375" customFormat="1" customHeight="1" ht="22.5" hidden="1">
      <c r="A9" s="996"/>
      <c r="C9" s="1645"/>
      <c r="D9" s="547"/>
      <c r="E9" s="1657"/>
      <c r="F9" s="549"/>
      <c r="G9" s="1655" t="s">
        <v>625</v>
      </c>
      <c r="H9" s="550"/>
      <c r="I9" s="55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0"/>
      <c r="AL9" s="760"/>
      <c r="AM9" s="760"/>
      <c r="AN9" s="551" t="s">
        <v>628</v>
      </c>
      <c r="AO9" s="552"/>
      <c r="AP9" s="1645"/>
      <c r="AQ9" s="1645"/>
      <c r="AV9" s="1645"/>
      <c r="AY9" s="553"/>
      <c r="BE9" s="1641"/>
      <c r="BF9" s="1641"/>
      <c r="BG9" s="1641"/>
      <c r="BH9" s="1641"/>
      <c r="BI9" s="1641"/>
      <c r="BJ9" s="1169">
        <v>0</v>
      </c>
    </row>
    <row customHeight="1" ht="11.25" hidden="1">
      <c r="J10" s="1644"/>
      <c r="K10" s="1644"/>
      <c r="L10" s="1644"/>
      <c r="M10" s="1644"/>
      <c r="N10" s="1644"/>
      <c r="O10" s="1644"/>
      <c r="P10" s="1644"/>
      <c r="Q10" s="1644"/>
      <c r="R10" s="1644"/>
      <c r="S10" s="1644"/>
      <c r="T10" s="1644"/>
      <c r="U10" s="1644"/>
      <c r="V10" s="1644"/>
      <c r="W10" s="1644"/>
      <c r="X10" s="1644"/>
      <c r="Y10" s="1644"/>
      <c r="Z10" s="1644"/>
      <c r="AA10" s="1644"/>
      <c r="AB10" s="1644"/>
      <c r="AC10" s="1644"/>
      <c r="AD10" s="1644"/>
      <c r="AE10" s="1644"/>
      <c r="AF10" s="1644"/>
      <c r="AG10" s="1644"/>
      <c r="AH10" s="1644"/>
      <c r="AI10" s="1644"/>
      <c r="AJ10" s="1644"/>
      <c r="AK10" s="1644"/>
      <c r="AL10" s="1644"/>
      <c r="AM10" s="1644"/>
      <c r="BJ10" s="1640">
        <v>0</v>
      </c>
    </row>
    <row customHeight="1" ht="18.75" hidden="1">
      <c r="D11" s="1647"/>
      <c r="E11" s="555"/>
      <c r="F11" s="549"/>
      <c r="G11" s="1655" t="s">
        <v>629</v>
      </c>
      <c r="H11" s="550"/>
      <c r="I11" s="550"/>
      <c r="J11" s="760"/>
      <c r="K11" s="760"/>
      <c r="L11" s="760"/>
      <c r="M11" s="760"/>
      <c r="N11" s="760"/>
      <c r="O11" s="760"/>
      <c r="P11" s="760"/>
      <c r="Q11" s="760"/>
      <c r="R11" s="760"/>
      <c r="S11" s="760"/>
      <c r="T11" s="760"/>
      <c r="U11" s="760"/>
      <c r="V11" s="760"/>
      <c r="W11" s="760"/>
      <c r="X11" s="760"/>
      <c r="Y11" s="760"/>
      <c r="Z11" s="760"/>
      <c r="AA11" s="760"/>
      <c r="AB11" s="760"/>
      <c r="AC11" s="760"/>
      <c r="AD11" s="760"/>
      <c r="AE11" s="760"/>
      <c r="AF11" s="760"/>
      <c r="AG11" s="760"/>
      <c r="AH11" s="760"/>
      <c r="AI11" s="760"/>
      <c r="AJ11" s="760"/>
      <c r="AK11" s="760"/>
      <c r="AL11" s="760"/>
      <c r="AM11" s="760"/>
      <c r="AN11" s="298" t="s">
        <v>630</v>
      </c>
      <c r="AO11" s="552"/>
      <c r="BJ11" s="1640">
        <v>0</v>
      </c>
    </row>
    <row customHeight="1" ht="11.25" hidden="1">
      <c r="J12" s="1644"/>
      <c r="K12" s="1644"/>
      <c r="L12" s="1644"/>
      <c r="M12" s="1644"/>
      <c r="N12" s="1644"/>
      <c r="O12" s="1644"/>
      <c r="P12" s="1644"/>
      <c r="Q12" s="1644"/>
      <c r="R12" s="1644"/>
      <c r="S12" s="1644"/>
      <c r="T12" s="1644"/>
      <c r="U12" s="1644"/>
      <c r="V12" s="1644"/>
      <c r="W12" s="1644"/>
      <c r="X12" s="1644"/>
      <c r="Y12" s="1644"/>
      <c r="Z12" s="1644"/>
      <c r="AA12" s="1644"/>
      <c r="AB12" s="1644"/>
      <c r="AC12" s="1644"/>
      <c r="AD12" s="1644"/>
      <c r="AE12" s="1644"/>
      <c r="AF12" s="1644"/>
      <c r="AG12" s="1644"/>
      <c r="AH12" s="1644"/>
      <c r="AI12" s="1644"/>
      <c r="AJ12" s="1644"/>
      <c r="AK12" s="1644"/>
      <c r="AL12" s="1644"/>
      <c r="AM12" s="1644"/>
      <c r="BJ12" s="1640">
        <v>0</v>
      </c>
    </row>
    <row customHeight="1" ht="22.5" hidden="1">
      <c r="D13" s="1647"/>
      <c r="E13" s="555"/>
      <c r="F13" s="549"/>
      <c r="G13" s="978" t="s">
        <v>631</v>
      </c>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754" t="s">
        <v>632</v>
      </c>
      <c r="AO13" s="552"/>
      <c r="BJ13" s="1640">
        <v>0</v>
      </c>
    </row>
    <row customHeight="1" ht="11.25" hidden="1">
      <c r="J14" s="1644"/>
      <c r="K14" s="1644"/>
      <c r="L14" s="1644"/>
      <c r="M14" s="1644"/>
      <c r="N14" s="1644"/>
      <c r="O14" s="1644"/>
      <c r="P14" s="1644"/>
      <c r="Q14" s="1644"/>
      <c r="R14" s="1644"/>
      <c r="S14" s="1644"/>
      <c r="T14" s="1644"/>
      <c r="U14" s="1644"/>
      <c r="V14" s="1644"/>
      <c r="W14" s="1644"/>
      <c r="X14" s="1644"/>
      <c r="Y14" s="1644"/>
      <c r="Z14" s="1644"/>
      <c r="AA14" s="1644"/>
      <c r="AB14" s="1644"/>
      <c r="AC14" s="1644"/>
      <c r="AD14" s="1644"/>
      <c r="AE14" s="1644"/>
      <c r="AF14" s="1644"/>
      <c r="AG14" s="1644"/>
      <c r="AH14" s="1644"/>
      <c r="AI14" s="1644"/>
      <c r="AJ14" s="1644"/>
      <c r="AK14" s="1644"/>
      <c r="AL14" s="1644"/>
      <c r="AM14" s="1644"/>
      <c r="BJ14" s="1640">
        <v>0</v>
      </c>
    </row>
    <row customHeight="1" ht="22.5" hidden="1">
      <c r="D15" s="1647"/>
      <c r="E15" s="555"/>
      <c r="F15" s="549"/>
      <c r="G15" s="1655" t="s">
        <v>633</v>
      </c>
      <c r="H15" s="554"/>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298" t="s">
        <v>634</v>
      </c>
      <c r="AO15" s="552"/>
      <c r="BJ15" s="1640">
        <v>0</v>
      </c>
    </row>
    <row customHeight="1" ht="11.25" hidden="1">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1644"/>
      <c r="AL16" s="1644"/>
      <c r="AM16" s="1644"/>
      <c r="BJ16" s="1640">
        <v>0</v>
      </c>
    </row>
    <row customHeight="1" ht="22.5" hidden="1">
      <c r="D17" s="1647"/>
      <c r="E17" s="555"/>
      <c r="F17" s="549"/>
      <c r="G17" s="1655" t="s">
        <v>635</v>
      </c>
      <c r="H17" s="554"/>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298" t="s">
        <v>636</v>
      </c>
      <c r="AO17" s="552"/>
      <c r="BJ17" s="1640">
        <v>0</v>
      </c>
    </row>
    <row customHeight="1" ht="11.25" hidden="1">
      <c r="J18" s="1644"/>
      <c r="K18" s="1644"/>
      <c r="L18" s="1644"/>
      <c r="M18" s="1644"/>
      <c r="N18" s="1644"/>
      <c r="O18" s="1644"/>
      <c r="P18" s="1644"/>
      <c r="Q18" s="1644"/>
      <c r="R18" s="1644"/>
      <c r="S18" s="1644"/>
      <c r="T18" s="1644"/>
      <c r="U18" s="1644"/>
      <c r="V18" s="1644"/>
      <c r="W18" s="1644"/>
      <c r="X18" s="1644"/>
      <c r="Y18" s="1644"/>
      <c r="Z18" s="1644"/>
      <c r="AA18" s="1644"/>
      <c r="AB18" s="1644"/>
      <c r="AC18" s="1644"/>
      <c r="AD18" s="1644"/>
      <c r="AE18" s="1644"/>
      <c r="AF18" s="1644"/>
      <c r="AG18" s="1644"/>
      <c r="AH18" s="1644"/>
      <c r="AI18" s="1644"/>
      <c r="AJ18" s="1644"/>
      <c r="AK18" s="1644"/>
      <c r="AL18" s="1644"/>
      <c r="AM18" s="1644"/>
      <c r="BJ18" s="1640">
        <v>0</v>
      </c>
    </row>
    <row s="1641" customFormat="1" customHeight="1" ht="11.25" hidden="1">
      <c r="A19" s="996"/>
      <c r="B19" s="1169"/>
      <c r="C19" s="1645"/>
      <c r="D19" s="371"/>
      <c r="J19" s="1641"/>
      <c r="K19" s="1641"/>
      <c r="L19" s="1641"/>
      <c r="M19" s="1641"/>
      <c r="N19" s="1641"/>
      <c r="O19" s="1641"/>
      <c r="P19" s="1641"/>
      <c r="Q19" s="1641"/>
      <c r="R19" s="1641"/>
      <c r="S19" s="1641"/>
      <c r="T19" s="1641"/>
      <c r="U19" s="1641"/>
      <c r="V19" s="1641"/>
      <c r="W19" s="1641"/>
      <c r="X19" s="1641"/>
      <c r="Y19" s="1641"/>
      <c r="Z19" s="1641"/>
      <c r="AA19" s="1641"/>
      <c r="AB19" s="1641"/>
      <c r="AC19" s="1641"/>
      <c r="AD19" s="1641"/>
      <c r="AE19" s="1641"/>
      <c r="AF19" s="1641"/>
      <c r="AG19" s="1641"/>
      <c r="AH19" s="1641"/>
      <c r="AI19" s="1641"/>
      <c r="AJ19" s="1641"/>
      <c r="AK19" s="1641"/>
      <c r="AL19" s="1641"/>
      <c r="AM19" s="1641"/>
      <c r="AN19" s="1641">
        <v>4</v>
      </c>
      <c r="AO19" s="1169"/>
      <c r="AP19" s="1645"/>
      <c r="AQ19" s="1645"/>
      <c r="AR19" s="1169"/>
      <c r="AS19" s="1169"/>
      <c r="AT19" s="1169"/>
      <c r="AU19" s="1169"/>
      <c r="AV19" s="1645"/>
      <c r="AW19" s="1169"/>
      <c r="AX19" s="1169"/>
      <c r="AY19" s="553"/>
      <c r="AZ19" s="1169"/>
      <c r="BA19" s="1169"/>
      <c r="BB19" s="1169"/>
      <c r="BC19" s="1169"/>
      <c r="BD19" s="1169"/>
      <c r="BJ19" s="1641">
        <v>0</v>
      </c>
    </row>
    <row customHeight="1" ht="11.549999999999999">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644"/>
      <c r="AM20" s="1644"/>
      <c r="BJ20" s="1640">
        <v>11</v>
      </c>
    </row>
    <row customHeight="1" ht="25.2">
      <c r="E21" s="225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7"/>
      <c r="G21" s="2257"/>
      <c r="H21" s="2257"/>
      <c r="I21" s="2257"/>
      <c r="J21" s="2257"/>
      <c r="K21" s="2257"/>
      <c r="L21" s="2257"/>
      <c r="M21" s="2257"/>
      <c r="N21" s="2257"/>
      <c r="O21" s="2257"/>
      <c r="P21" s="2257"/>
      <c r="Q21" s="2257"/>
      <c r="R21" s="2257"/>
      <c r="S21" s="2257"/>
      <c r="T21" s="2257"/>
      <c r="U21" s="2257"/>
      <c r="V21" s="2257"/>
      <c r="W21" s="2257"/>
      <c r="X21" s="2257"/>
      <c r="Y21" s="2257"/>
      <c r="Z21" s="2257"/>
      <c r="AA21" s="2257"/>
      <c r="AB21" s="2257"/>
      <c r="AC21" s="2257"/>
      <c r="AD21" s="2257"/>
      <c r="AE21" s="2257"/>
      <c r="AF21" s="2257"/>
      <c r="AG21" s="2257"/>
      <c r="AH21" s="2257"/>
      <c r="AI21" s="2257"/>
      <c r="AJ21" s="2257"/>
      <c r="AK21" s="2257"/>
      <c r="AL21" s="2257"/>
      <c r="AM21" s="2257"/>
      <c r="AN21" s="565"/>
      <c r="BJ21" s="1640">
        <v>24</v>
      </c>
    </row>
    <row customHeight="1" ht="25.2">
      <c r="E22" s="2258" t="str">
        <f>IF(org=0,"Не определено",org)</f>
        <v>ООО "СамРЭК-Тепло Жигулевск"</v>
      </c>
      <c r="F22" s="2258"/>
      <c r="G22" s="2258"/>
      <c r="H22" s="2258"/>
      <c r="I22" s="2258"/>
      <c r="J22" s="2258"/>
      <c r="K22" s="2258"/>
      <c r="L22" s="2258"/>
      <c r="M22" s="2258"/>
      <c r="N22" s="2258"/>
      <c r="O22" s="2258"/>
      <c r="P22" s="2258"/>
      <c r="Q22" s="2258"/>
      <c r="R22" s="2258"/>
      <c r="S22" s="2258"/>
      <c r="T22" s="2258"/>
      <c r="U22" s="2258"/>
      <c r="V22" s="2258"/>
      <c r="W22" s="2258"/>
      <c r="X22" s="2258"/>
      <c r="Y22" s="2258"/>
      <c r="Z22" s="2258"/>
      <c r="AA22" s="2258"/>
      <c r="AB22" s="2258"/>
      <c r="AC22" s="2258"/>
      <c r="AD22" s="2258"/>
      <c r="AE22" s="2258"/>
      <c r="AF22" s="2258"/>
      <c r="AG22" s="2258"/>
      <c r="AH22" s="2258"/>
      <c r="AI22" s="2258"/>
      <c r="AJ22" s="2258"/>
      <c r="AK22" s="2258"/>
      <c r="AL22" s="2258"/>
      <c r="AM22" s="2258"/>
      <c r="BJ22" s="1640">
        <v>24</v>
      </c>
    </row>
    <row customHeight="1" ht="11.549999999999999">
      <c r="E23" s="1144"/>
      <c r="F23" s="1144"/>
      <c r="G23" s="1144"/>
      <c r="H23" s="1144"/>
      <c r="I23" s="1144"/>
      <c r="J23" s="1145" t="s">
        <v>22</v>
      </c>
      <c r="K23" s="1145" t="s">
        <v>22</v>
      </c>
      <c r="L23" s="1145" t="s">
        <v>22</v>
      </c>
      <c r="M23" s="1145" t="s">
        <v>22</v>
      </c>
      <c r="N23" s="1145" t="s">
        <v>22</v>
      </c>
      <c r="O23" s="1145" t="s">
        <v>22</v>
      </c>
      <c r="P23" s="1145" t="s">
        <v>22</v>
      </c>
      <c r="Q23" s="1145" t="s">
        <v>22</v>
      </c>
      <c r="R23" s="1145" t="s">
        <v>22</v>
      </c>
      <c r="S23" s="1145" t="s">
        <v>22</v>
      </c>
      <c r="T23" s="1145" t="s">
        <v>22</v>
      </c>
      <c r="U23" s="1145" t="s">
        <v>22</v>
      </c>
      <c r="V23" s="1145" t="s">
        <v>22</v>
      </c>
      <c r="W23" s="1145" t="s">
        <v>22</v>
      </c>
      <c r="X23" s="1145" t="s">
        <v>22</v>
      </c>
      <c r="Y23" s="1145" t="s">
        <v>22</v>
      </c>
      <c r="Z23" s="1145" t="s">
        <v>22</v>
      </c>
      <c r="AA23" s="1145" t="s">
        <v>22</v>
      </c>
      <c r="AB23" s="1145" t="s">
        <v>22</v>
      </c>
      <c r="AC23" s="1145" t="s">
        <v>22</v>
      </c>
      <c r="AD23" s="1145" t="s">
        <v>22</v>
      </c>
      <c r="AE23" s="1145" t="s">
        <v>22</v>
      </c>
      <c r="AF23" s="1145" t="s">
        <v>22</v>
      </c>
      <c r="AG23" s="1145" t="s">
        <v>22</v>
      </c>
      <c r="AH23" s="1145" t="s">
        <v>22</v>
      </c>
      <c r="AI23" s="1145" t="s">
        <v>22</v>
      </c>
      <c r="AJ23" s="1145" t="s">
        <v>22</v>
      </c>
      <c r="AK23" s="1145" t="s">
        <v>22</v>
      </c>
      <c r="AL23" s="1145" t="s">
        <v>22</v>
      </c>
      <c r="AM23" s="1145" t="s">
        <v>22</v>
      </c>
      <c r="BJ23" s="1640">
        <v>11</v>
      </c>
    </row>
    <row s="1651" customFormat="1" customHeight="1" ht="1.05">
      <c r="A24" s="1176"/>
      <c r="D24" s="1651"/>
      <c r="H24" s="898"/>
      <c r="I24" s="898" t="s">
        <v>118</v>
      </c>
      <c r="J24" s="898" t="s">
        <v>123</v>
      </c>
      <c r="K24" s="898" t="s">
        <v>125</v>
      </c>
      <c r="L24" s="898" t="s">
        <v>127</v>
      </c>
      <c r="M24" s="898" t="s">
        <v>129</v>
      </c>
      <c r="N24" s="898" t="s">
        <v>131</v>
      </c>
      <c r="O24" s="898" t="s">
        <v>133</v>
      </c>
      <c r="P24" s="898" t="s">
        <v>135</v>
      </c>
      <c r="Q24" s="898" t="s">
        <v>138</v>
      </c>
      <c r="R24" s="898" t="s">
        <v>141</v>
      </c>
      <c r="S24" s="898" t="s">
        <v>144</v>
      </c>
      <c r="T24" s="898" t="s">
        <v>147</v>
      </c>
      <c r="U24" s="898" t="s">
        <v>150</v>
      </c>
      <c r="V24" s="898" t="s">
        <v>153</v>
      </c>
      <c r="W24" s="898" t="s">
        <v>156</v>
      </c>
      <c r="X24" s="898" t="s">
        <v>159</v>
      </c>
      <c r="Y24" s="898" t="s">
        <v>162</v>
      </c>
      <c r="Z24" s="898" t="s">
        <v>165</v>
      </c>
      <c r="AA24" s="898" t="s">
        <v>168</v>
      </c>
      <c r="AB24" s="898" t="s">
        <v>171</v>
      </c>
      <c r="AC24" s="898" t="s">
        <v>174</v>
      </c>
      <c r="AD24" s="898" t="s">
        <v>177</v>
      </c>
      <c r="AE24" s="898" t="s">
        <v>180</v>
      </c>
      <c r="AF24" s="898" t="s">
        <v>183</v>
      </c>
      <c r="AG24" s="898" t="s">
        <v>186</v>
      </c>
      <c r="AH24" s="898" t="s">
        <v>189</v>
      </c>
      <c r="AI24" s="898" t="s">
        <v>192</v>
      </c>
      <c r="AJ24" s="898" t="s">
        <v>195</v>
      </c>
      <c r="AK24" s="898" t="s">
        <v>198</v>
      </c>
      <c r="AL24" s="898" t="s">
        <v>200</v>
      </c>
      <c r="AM24" s="898" t="s">
        <v>201</v>
      </c>
      <c r="BJ24" s="1645">
        <v>1</v>
      </c>
    </row>
    <row customHeight="1" ht="11.549999999999999">
      <c r="E25" s="720"/>
      <c r="F25" s="2376" t="s">
        <v>105</v>
      </c>
      <c r="G25" s="2377"/>
      <c r="H25" s="1661" t="str">
        <f>IF(H24="","",INDEX(DIFFERENTIATION_UNMERGE_VD,MATCH(H24,DIFFERENTIATION_ID_DIFF,0)))</f>
        <v/>
      </c>
      <c r="I25" s="1661" t="str">
        <f>IF(I24="","",INDEX(DIFFERENTIATION_UNMERGE_VD,MATCH(I24,DIFFERENTIATION_ID_DIFF,0)))</f>
        <v>Производство тепловой энергии. Некомбинированная выработка</v>
      </c>
      <c r="J25" s="2402" t="str">
        <f>IF(J24="","",INDEX(DIFFERENTIATION_UNMERGE_VD,MATCH(J24,DIFFERENTIATION_ID_DIFF,0)))</f>
        <v>Производство тепловой энергии. Некомбинированная выработка</v>
      </c>
      <c r="K25" s="2402" t="str">
        <f>IF(K24="","",INDEX(DIFFERENTIATION_UNMERGE_VD,MATCH(K24,DIFFERENTIATION_ID_DIFF,0)))</f>
        <v>Производство тепловой энергии. Некомбинированная выработка</v>
      </c>
      <c r="L25" s="2402" t="str">
        <f>IF(L24="","",INDEX(DIFFERENTIATION_UNMERGE_VD,MATCH(L24,DIFFERENTIATION_ID_DIFF,0)))</f>
        <v>Производство тепловой энергии. Некомбинированная выработка</v>
      </c>
      <c r="M25" s="2402" t="str">
        <f>IF(M24="","",INDEX(DIFFERENTIATION_UNMERGE_VD,MATCH(M24,DIFFERENTIATION_ID_DIFF,0)))</f>
        <v>Производство тепловой энергии. Некомбинированная выработка</v>
      </c>
      <c r="N25" s="2402" t="str">
        <f>IF(N24="","",INDEX(DIFFERENTIATION_UNMERGE_VD,MATCH(N24,DIFFERENTIATION_ID_DIFF,0)))</f>
        <v>Производство тепловой энергии. Некомбинированная выработка</v>
      </c>
      <c r="O25" s="2402" t="str">
        <f>IF(O24="","",INDEX(DIFFERENTIATION_UNMERGE_VD,MATCH(O24,DIFFERENTIATION_ID_DIFF,0)))</f>
        <v>Производство тепловой энергии. Некомбинированная выработка</v>
      </c>
      <c r="P25" s="2402" t="str">
        <f>IF(P24="","",INDEX(DIFFERENTIATION_UNMERGE_VD,MATCH(P24,DIFFERENTIATION_ID_DIFF,0)))</f>
        <v>Производство тепловой энергии. Некомбинированная выработка</v>
      </c>
      <c r="Q25" s="2402" t="str">
        <f>IF(Q24="","",INDEX(DIFFERENTIATION_UNMERGE_VD,MATCH(Q24,DIFFERENTIATION_ID_DIFF,0)))</f>
        <v>Производство тепловой энергии. Некомбинированная выработка</v>
      </c>
      <c r="R25" s="2402" t="str">
        <f>IF(R24="","",INDEX(DIFFERENTIATION_UNMERGE_VD,MATCH(R24,DIFFERENTIATION_ID_DIFF,0)))</f>
        <v>Производство тепловой энергии. Некомбинированная выработка</v>
      </c>
      <c r="S25" s="2402" t="str">
        <f>IF(S24="","",INDEX(DIFFERENTIATION_UNMERGE_VD,MATCH(S24,DIFFERENTIATION_ID_DIFF,0)))</f>
        <v>Производство тепловой энергии. Некомбинированная выработка</v>
      </c>
      <c r="T25" s="2402" t="str">
        <f>IF(T24="","",INDEX(DIFFERENTIATION_UNMERGE_VD,MATCH(T24,DIFFERENTIATION_ID_DIFF,0)))</f>
        <v>Производство тепловой энергии. Некомбинированная выработка</v>
      </c>
      <c r="U25" s="2402" t="str">
        <f>IF(U24="","",INDEX(DIFFERENTIATION_UNMERGE_VD,MATCH(U24,DIFFERENTIATION_ID_DIFF,0)))</f>
        <v>Производство тепловой энергии. Некомбинированная выработка</v>
      </c>
      <c r="V25" s="2402" t="str">
        <f>IF(V24="","",INDEX(DIFFERENTIATION_UNMERGE_VD,MATCH(V24,DIFFERENTIATION_ID_DIFF,0)))</f>
        <v>Производство тепловой энергии. Некомбинированная выработка</v>
      </c>
      <c r="W25" s="2402" t="str">
        <f>IF(W24="","",INDEX(DIFFERENTIATION_UNMERGE_VD,MATCH(W24,DIFFERENTIATION_ID_DIFF,0)))</f>
        <v>Производство тепловой энергии. Некомбинированная выработка</v>
      </c>
      <c r="X25" s="2402" t="str">
        <f>IF(X24="","",INDEX(DIFFERENTIATION_UNMERGE_VD,MATCH(X24,DIFFERENTIATION_ID_DIFF,0)))</f>
        <v>Производство тепловой энергии. Некомбинированная выработка</v>
      </c>
      <c r="Y25" s="2402" t="str">
        <f>IF(Y24="","",INDEX(DIFFERENTIATION_UNMERGE_VD,MATCH(Y24,DIFFERENTIATION_ID_DIFF,0)))</f>
        <v>Производство тепловой энергии. Некомбинированная выработка</v>
      </c>
      <c r="Z25" s="2402" t="str">
        <f>IF(Z24="","",INDEX(DIFFERENTIATION_UNMERGE_VD,MATCH(Z24,DIFFERENTIATION_ID_DIFF,0)))</f>
        <v>Производство тепловой энергии. Некомбинированная выработка</v>
      </c>
      <c r="AA25" s="2402" t="str">
        <f>IF(AA24="","",INDEX(DIFFERENTIATION_UNMERGE_VD,MATCH(AA24,DIFFERENTIATION_ID_DIFF,0)))</f>
        <v>Производство тепловой энергии. Некомбинированная выработка</v>
      </c>
      <c r="AB25" s="2402" t="str">
        <f>IF(AB24="","",INDEX(DIFFERENTIATION_UNMERGE_VD,MATCH(AB24,DIFFERENTIATION_ID_DIFF,0)))</f>
        <v>Производство тепловой энергии. Некомбинированная выработка</v>
      </c>
      <c r="AC25" s="2402" t="str">
        <f>IF(AC24="","",INDEX(DIFFERENTIATION_UNMERGE_VD,MATCH(AC24,DIFFERENTIATION_ID_DIFF,0)))</f>
        <v>Производство тепловой энергии. Некомбинированная выработка</v>
      </c>
      <c r="AD25" s="2402" t="str">
        <f>IF(AD24="","",INDEX(DIFFERENTIATION_UNMERGE_VD,MATCH(AD24,DIFFERENTIATION_ID_DIFF,0)))</f>
        <v>Производство тепловой энергии. Некомбинированная выработка</v>
      </c>
      <c r="AE25" s="2402" t="str">
        <f>IF(AE24="","",INDEX(DIFFERENTIATION_UNMERGE_VD,MATCH(AE24,DIFFERENTIATION_ID_DIFF,0)))</f>
        <v>Производство тепловой энергии. Некомбинированная выработка</v>
      </c>
      <c r="AF25" s="2402" t="str">
        <f>IF(AF24="","",INDEX(DIFFERENTIATION_UNMERGE_VD,MATCH(AF24,DIFFERENTIATION_ID_DIFF,0)))</f>
        <v>Производство тепловой энергии. Некомбинированная выработка</v>
      </c>
      <c r="AG25" s="2402" t="str">
        <f>IF(AG24="","",INDEX(DIFFERENTIATION_UNMERGE_VD,MATCH(AG24,DIFFERENTIATION_ID_DIFF,0)))</f>
        <v>Производство тепловой энергии. Некомбинированная выработка</v>
      </c>
      <c r="AH25" s="2402" t="str">
        <f>IF(AH24="","",INDEX(DIFFERENTIATION_UNMERGE_VD,MATCH(AH24,DIFFERENTIATION_ID_DIFF,0)))</f>
        <v>Производство тепловой энергии. Некомбинированная выработка</v>
      </c>
      <c r="AI25" s="2402" t="str">
        <f>IF(AI24="","",INDEX(DIFFERENTIATION_UNMERGE_VD,MATCH(AI24,DIFFERENTIATION_ID_DIFF,0)))</f>
        <v>Производство тепловой энергии. Некомбинированная выработка</v>
      </c>
      <c r="AJ25" s="2402" t="str">
        <f>IF(AJ24="","",INDEX(DIFFERENTIATION_UNMERGE_VD,MATCH(AJ24,DIFFERENTIATION_ID_DIFF,0)))</f>
        <v>Производство тепловой энергии. Некомбинированная выработка</v>
      </c>
      <c r="AK25" s="2402" t="str">
        <f>IF(AK24="","",INDEX(DIFFERENTIATION_UNMERGE_VD,MATCH(AK24,DIFFERENTIATION_ID_DIFF,0)))</f>
        <v>Производство. Теплоноситель</v>
      </c>
      <c r="AL25" s="2402" t="str">
        <f>IF(AL24="","",INDEX(DIFFERENTIATION_UNMERGE_VD,MATCH(AL24,DIFFERENTIATION_ID_DIFF,0)))</f>
        <v>Производство. Теплоноситель</v>
      </c>
      <c r="AM25" s="2402" t="str">
        <f>IF(AM24="","",INDEX(DIFFERENTIATION_UNMERGE_VD,MATCH(AM24,DIFFERENTIATION_ID_DIFF,0)))</f>
        <v>Производство. Теплоноситель</v>
      </c>
      <c r="AN25" s="2136"/>
      <c r="BJ25" s="1640">
        <v>11</v>
      </c>
    </row>
    <row customHeight="1" ht="11.549999999999999">
      <c r="E26" s="720"/>
      <c r="F26" s="2376" t="s">
        <v>637</v>
      </c>
      <c r="G26" s="2377"/>
      <c r="H26" s="1661" t="str">
        <f>IF(H24="","",INDEX(DIFFERENTIATION_UNMERGE_AREA,MATCH(H24,DIFFERENTIATION_ID_DIFF,0)))</f>
        <v/>
      </c>
      <c r="I26" s="1661" t="str">
        <f>IF(I24="","",INDEX(DIFFERENTIATION_UNMERGE_AREA,MATCH(I24,DIFFERENTIATION_ID_DIFF,0)))</f>
        <v>Территория 1</v>
      </c>
      <c r="J26" s="2402" t="str">
        <f>IF(J24="","",INDEX(DIFFERENTIATION_UNMERGE_AREA,MATCH(J24,DIFFERENTIATION_ID_DIFF,0)))</f>
        <v>Территория 1</v>
      </c>
      <c r="K26" s="2402" t="str">
        <f>IF(K24="","",INDEX(DIFFERENTIATION_UNMERGE_AREA,MATCH(K24,DIFFERENTIATION_ID_DIFF,0)))</f>
        <v>Территория 1</v>
      </c>
      <c r="L26" s="2402" t="str">
        <f>IF(L24="","",INDEX(DIFFERENTIATION_UNMERGE_AREA,MATCH(L24,DIFFERENTIATION_ID_DIFF,0)))</f>
        <v>Территория 1</v>
      </c>
      <c r="M26" s="2402" t="str">
        <f>IF(M24="","",INDEX(DIFFERENTIATION_UNMERGE_AREA,MATCH(M24,DIFFERENTIATION_ID_DIFF,0)))</f>
        <v>Территория 1</v>
      </c>
      <c r="N26" s="2402" t="str">
        <f>IF(N24="","",INDEX(DIFFERENTIATION_UNMERGE_AREA,MATCH(N24,DIFFERENTIATION_ID_DIFF,0)))</f>
        <v>Территория 1</v>
      </c>
      <c r="O26" s="2402" t="str">
        <f>IF(O24="","",INDEX(DIFFERENTIATION_UNMERGE_AREA,MATCH(O24,DIFFERENTIATION_ID_DIFF,0)))</f>
        <v>Территория 1</v>
      </c>
      <c r="P26" s="2402" t="str">
        <f>IF(P24="","",INDEX(DIFFERENTIATION_UNMERGE_AREA,MATCH(P24,DIFFERENTIATION_ID_DIFF,0)))</f>
        <v>Территория 1</v>
      </c>
      <c r="Q26" s="2402" t="str">
        <f>IF(Q24="","",INDEX(DIFFERENTIATION_UNMERGE_AREA,MATCH(Q24,DIFFERENTIATION_ID_DIFF,0)))</f>
        <v>Территория 1</v>
      </c>
      <c r="R26" s="2402" t="str">
        <f>IF(R24="","",INDEX(DIFFERENTIATION_UNMERGE_AREA,MATCH(R24,DIFFERENTIATION_ID_DIFF,0)))</f>
        <v>Территория 1</v>
      </c>
      <c r="S26" s="2402" t="str">
        <f>IF(S24="","",INDEX(DIFFERENTIATION_UNMERGE_AREA,MATCH(S24,DIFFERENTIATION_ID_DIFF,0)))</f>
        <v>Территория 1</v>
      </c>
      <c r="T26" s="2402" t="str">
        <f>IF(T24="","",INDEX(DIFFERENTIATION_UNMERGE_AREA,MATCH(T24,DIFFERENTIATION_ID_DIFF,0)))</f>
        <v>Территория 1</v>
      </c>
      <c r="U26" s="2402" t="str">
        <f>IF(U24="","",INDEX(DIFFERENTIATION_UNMERGE_AREA,MATCH(U24,DIFFERENTIATION_ID_DIFF,0)))</f>
        <v>Территория 1</v>
      </c>
      <c r="V26" s="2402" t="str">
        <f>IF(V24="","",INDEX(DIFFERENTIATION_UNMERGE_AREA,MATCH(V24,DIFFERENTIATION_ID_DIFF,0)))</f>
        <v>Территория 1</v>
      </c>
      <c r="W26" s="2402" t="str">
        <f>IF(W24="","",INDEX(DIFFERENTIATION_UNMERGE_AREA,MATCH(W24,DIFFERENTIATION_ID_DIFF,0)))</f>
        <v>Территория 1</v>
      </c>
      <c r="X26" s="2402" t="str">
        <f>IF(X24="","",INDEX(DIFFERENTIATION_UNMERGE_AREA,MATCH(X24,DIFFERENTIATION_ID_DIFF,0)))</f>
        <v>Территория 1</v>
      </c>
      <c r="Y26" s="2402" t="str">
        <f>IF(Y24="","",INDEX(DIFFERENTIATION_UNMERGE_AREA,MATCH(Y24,DIFFERENTIATION_ID_DIFF,0)))</f>
        <v>Территория 1</v>
      </c>
      <c r="Z26" s="2402" t="str">
        <f>IF(Z24="","",INDEX(DIFFERENTIATION_UNMERGE_AREA,MATCH(Z24,DIFFERENTIATION_ID_DIFF,0)))</f>
        <v>Территория 1</v>
      </c>
      <c r="AA26" s="2402" t="str">
        <f>IF(AA24="","",INDEX(DIFFERENTIATION_UNMERGE_AREA,MATCH(AA24,DIFFERENTIATION_ID_DIFF,0)))</f>
        <v>Территория 1</v>
      </c>
      <c r="AB26" s="2402" t="str">
        <f>IF(AB24="","",INDEX(DIFFERENTIATION_UNMERGE_AREA,MATCH(AB24,DIFFERENTIATION_ID_DIFF,0)))</f>
        <v>Территория 1</v>
      </c>
      <c r="AC26" s="2402" t="str">
        <f>IF(AC24="","",INDEX(DIFFERENTIATION_UNMERGE_AREA,MATCH(AC24,DIFFERENTIATION_ID_DIFF,0)))</f>
        <v>Территория 1</v>
      </c>
      <c r="AD26" s="2402" t="str">
        <f>IF(AD24="","",INDEX(DIFFERENTIATION_UNMERGE_AREA,MATCH(AD24,DIFFERENTIATION_ID_DIFF,0)))</f>
        <v>Территория 1</v>
      </c>
      <c r="AE26" s="2402" t="str">
        <f>IF(AE24="","",INDEX(DIFFERENTIATION_UNMERGE_AREA,MATCH(AE24,DIFFERENTIATION_ID_DIFF,0)))</f>
        <v>Территория 1</v>
      </c>
      <c r="AF26" s="2402" t="str">
        <f>IF(AF24="","",INDEX(DIFFERENTIATION_UNMERGE_AREA,MATCH(AF24,DIFFERENTIATION_ID_DIFF,0)))</f>
        <v>Территория 1</v>
      </c>
      <c r="AG26" s="2402" t="str">
        <f>IF(AG24="","",INDEX(DIFFERENTIATION_UNMERGE_AREA,MATCH(AG24,DIFFERENTIATION_ID_DIFF,0)))</f>
        <v>Территория 1</v>
      </c>
      <c r="AH26" s="2402" t="str">
        <f>IF(AH24="","",INDEX(DIFFERENTIATION_UNMERGE_AREA,MATCH(AH24,DIFFERENTIATION_ID_DIFF,0)))</f>
        <v>Территория 1</v>
      </c>
      <c r="AI26" s="2402" t="str">
        <f>IF(AI24="","",INDEX(DIFFERENTIATION_UNMERGE_AREA,MATCH(AI24,DIFFERENTIATION_ID_DIFF,0)))</f>
        <v>Территория 1</v>
      </c>
      <c r="AJ26" s="2402" t="str">
        <f>IF(AJ24="","",INDEX(DIFFERENTIATION_UNMERGE_AREA,MATCH(AJ24,DIFFERENTIATION_ID_DIFF,0)))</f>
        <v>Территория 1</v>
      </c>
      <c r="AK26" s="2402" t="str">
        <f>IF(AK24="","",INDEX(DIFFERENTIATION_UNMERGE_AREA,MATCH(AK24,DIFFERENTIATION_ID_DIFF,0)))</f>
        <v>Территория 1</v>
      </c>
      <c r="AL26" s="2402" t="str">
        <f>IF(AL24="","",INDEX(DIFFERENTIATION_UNMERGE_AREA,MATCH(AL24,DIFFERENTIATION_ID_DIFF,0)))</f>
        <v>Территория 1</v>
      </c>
      <c r="AM26" s="2402" t="str">
        <f>IF(AM24="","",INDEX(DIFFERENTIATION_UNMERGE_AREA,MATCH(AM24,DIFFERENTIATION_ID_DIFF,0)))</f>
        <v>Территория 1</v>
      </c>
      <c r="AN26" s="2136"/>
      <c r="BJ26" s="1640">
        <v>11</v>
      </c>
    </row>
    <row customHeight="1" ht="11.549999999999999">
      <c r="E27" s="720"/>
      <c r="F27" s="2376" t="s">
        <v>638</v>
      </c>
      <c r="G27" s="2377"/>
      <c r="H27" s="1661" t="str">
        <f>IF(H24="","",INDEX(DIFFERENTIATION_UNMERGE_SYSTEM,MATCH(H24,DIFFERENTIATION_ID_DIFF,0)))</f>
        <v/>
      </c>
      <c r="I27" s="1661" t="str">
        <f>IF(I24="","",INDEX(DIFFERENTIATION_UNMERGE_SYSTEM,MATCH(I24,DIFFERENTIATION_ID_DIFF,0)))</f>
        <v>Котельная №1 по ул.Ново-Самарская, д.12</v>
      </c>
      <c r="J27" s="2402" t="str">
        <f>IF(J24="","",INDEX(DIFFERENTIATION_UNMERGE_SYSTEM,MATCH(J24,DIFFERENTIATION_ID_DIFF,0)))</f>
        <v>Котельная №2,  ул.Пирогова около д.4</v>
      </c>
      <c r="K27" s="2402" t="str">
        <f>IF(K24="","",INDEX(DIFFERENTIATION_UNMERGE_SYSTEM,MATCH(K24,DIFFERENTIATION_ID_DIFF,0)))</f>
        <v>Котельная №3, ул.Комсомольская около д.1 по ул.Ленина</v>
      </c>
      <c r="L27" s="2402" t="str">
        <f>IF(L24="","",INDEX(DIFFERENTIATION_UNMERGE_SYSTEM,MATCH(L24,DIFFERENTIATION_ID_DIFF,0)))</f>
        <v>Тепловой центр №1 ул.Вокзальная ок д.№8</v>
      </c>
      <c r="M27" s="2402" t="str">
        <f>IF(M24="","",INDEX(DIFFERENTIATION_UNMERGE_SYSTEM,MATCH(M24,DIFFERENTIATION_ID_DIFF,0)))</f>
        <v>Котельная №5, Александр. Поле, около д.30 по ул.Советская </v>
      </c>
      <c r="N27" s="2402" t="str">
        <f>IF(N24="","",INDEX(DIFFERENTIATION_UNMERGE_SYSTEM,MATCH(N24,DIFFERENTIATION_ID_DIFF,0)))</f>
        <v>Котельная №6, ул.Пушкина </v>
      </c>
      <c r="O27" s="2402" t="str">
        <f>IF(O24="","",INDEX(DIFFERENTIATION_UNMERGE_SYSTEM,MATCH(O24,DIFFERENTIATION_ID_DIFF,0)))</f>
        <v>Тепловой центр №2 ул.Вокзальная ок д.№20</v>
      </c>
      <c r="P27" s="2402" t="str">
        <f>IF(P24="","",INDEX(DIFFERENTIATION_UNMERGE_SYSTEM,MATCH(P24,DIFFERENTIATION_ID_DIFF,0)))</f>
        <v>Котельная №8, ул.Мира</v>
      </c>
      <c r="Q27" s="2402" t="str">
        <f>IF(Q24="","",INDEX(DIFFERENTIATION_UNMERGE_SYSTEM,MATCH(Q24,DIFFERENTIATION_ID_DIFF,0)))</f>
        <v>Котельная №9, ул.Гоголя</v>
      </c>
      <c r="R27" s="2402" t="str">
        <f>IF(R24="","",INDEX(DIFFERENTIATION_UNMERGE_SYSTEM,MATCH(R24,DIFFERENTIATION_ID_DIFF,0)))</f>
        <v>Котельная №10, ул.Гоголя</v>
      </c>
      <c r="S27" s="2402" t="str">
        <f>IF(S24="","",INDEX(DIFFERENTIATION_UNMERGE_SYSTEM,MATCH(S24,DIFFERENTIATION_ID_DIFF,0)))</f>
        <v>Котельная №12а, ул.Мира</v>
      </c>
      <c r="T27" s="2402" t="str">
        <f>IF(T24="","",INDEX(DIFFERENTIATION_UNMERGE_SYSTEM,MATCH(T24,DIFFERENTIATION_ID_DIFF,0)))</f>
        <v>Котельная №13, ул.Морквашинская</v>
      </c>
      <c r="U27" s="2402" t="str">
        <f>IF(U24="","",INDEX(DIFFERENTIATION_UNMERGE_SYSTEM,MATCH(U24,DIFFERENTIATION_ID_DIFF,0)))</f>
        <v>ЦТП-1 ул.Морквашинская ок.д№7</v>
      </c>
      <c r="V27" s="2402" t="str">
        <f>IF(V24="","",INDEX(DIFFERENTIATION_UNMERGE_SYSTEM,MATCH(V24,DIFFERENTIATION_ID_DIFF,0)))</f>
        <v>ЦТП-2, В-1,ок.д.№10</v>
      </c>
      <c r="W27" s="2402" t="str">
        <f>IF(W24="","",INDEX(DIFFERENTIATION_UNMERGE_SYSTEM,MATCH(W24,DIFFERENTIATION_ID_DIFF,0)))</f>
        <v>ЦТП-9, ул.Пролетарская д.23/ул.Транспортная д.10</v>
      </c>
      <c r="X27" s="2402" t="str">
        <f>IF(X24="","",INDEX(DIFFERENTIATION_UNMERGE_SYSTEM,MATCH(X24,DIFFERENTIATION_ID_DIFF,0)))</f>
        <v>ПНС№1-  Пролет, 5</v>
      </c>
      <c r="Y27" s="2402" t="str">
        <f>IF(Y24="","",INDEX(DIFFERENTIATION_UNMERGE_SYSTEM,MATCH(Y24,DIFFERENTIATION_ID_DIFF,0)))</f>
        <v>ПНС№2, ул.Репина,3</v>
      </c>
      <c r="Z27" s="2402" t="str">
        <f>IF(Z24="","",INDEX(DIFFERENTIATION_UNMERGE_SYSTEM,MATCH(Z24,DIFFERENTIATION_ID_DIFF,0)))</f>
        <v>Котельная №14, ул.Радиозаводская</v>
      </c>
      <c r="AA27" s="2402" t="str">
        <f>IF(AA24="","",INDEX(DIFFERENTIATION_UNMERGE_SYSTEM,MATCH(AA24,DIFFERENTIATION_ID_DIFF,0)))</f>
        <v>ЦТП-3, ул.Радиозаводская,ок.д.№6</v>
      </c>
      <c r="AB27" s="2402" t="str">
        <f>IF(AB24="","",INDEX(DIFFERENTIATION_UNMERGE_SYSTEM,MATCH(AB24,DIFFERENTIATION_ID_DIFF,0)))</f>
        <v>Котельная №17а с.Зольное , ул.Первомайская.</v>
      </c>
      <c r="AC27" s="2402" t="str">
        <f>IF(AC24="","",INDEX(DIFFERENTIATION_UNMERGE_SYSTEM,MATCH(AC24,DIFFERENTIATION_ID_DIFF,0)))</f>
        <v>Котельная №18А, с.Солнечная Поляна, ул. 4-я Линия</v>
      </c>
      <c r="AD27" s="2402" t="str">
        <f>IF(AD24="","",INDEX(DIFFERENTIATION_UNMERGE_SYSTEM,MATCH(AD24,DIFFERENTIATION_ID_DIFF,0)))</f>
        <v>Котельная №20,пос.Яблоневый Овраг , ул Никитина</v>
      </c>
      <c r="AE27" s="2402" t="str">
        <f>IF(AE24="","",INDEX(DIFFERENTIATION_UNMERGE_SYSTEM,MATCH(AE24,DIFFERENTIATION_ID_DIFF,0)))</f>
        <v>Котельная №22, ул.Магистральная</v>
      </c>
      <c r="AF27" s="2402" t="str">
        <f>IF(AF24="","",INDEX(DIFFERENTIATION_UNMERGE_SYSTEM,MATCH(AF24,DIFFERENTIATION_ID_DIFF,0)))</f>
        <v>Котельная №25,  МКР Г-1, ул.Гидротехническая</v>
      </c>
      <c r="AG27" s="2402" t="str">
        <f>IF(AG24="","",INDEX(DIFFERENTIATION_UNMERGE_SYSTEM,MATCH(AG24,DIFFERENTIATION_ID_DIFF,0)))</f>
        <v>ЦТП-7, ул.Оборонная</v>
      </c>
      <c r="AH27" s="2402" t="str">
        <f>IF(AH24="","",INDEX(DIFFERENTIATION_UNMERGE_SYSTEM,MATCH(AH24,DIFFERENTIATION_ID_DIFF,0)))</f>
        <v>ЦТП-8, ул.Шевченко</v>
      </c>
      <c r="AI27" s="2402" t="str">
        <f>IF(AI24="","",INDEX(DIFFERENTIATION_UNMERGE_SYSTEM,MATCH(AI24,DIFFERENTIATION_ID_DIFF,0)))</f>
        <v>ПНС, ул.Парковая</v>
      </c>
      <c r="AJ27" s="2402" t="str">
        <f>IF(AJ24="","",INDEX(DIFFERENTIATION_UNMERGE_SYSTEM,MATCH(AJ24,DIFFERENTIATION_ID_DIFF,0)))</f>
        <v>Котельная №27, п.Богатырь, ул.Управленческая</v>
      </c>
      <c r="AK27" s="2402" t="str">
        <f>IF(AK24="","",INDEX(DIFFERENTIATION_UNMERGE_SYSTEM,MATCH(AK24,DIFFERENTIATION_ID_DIFF,0)))</f>
        <v>Котельная №13, ул.Морквашинская</v>
      </c>
      <c r="AL27" s="2402" t="str">
        <f>IF(AL24="","",INDEX(DIFFERENTIATION_UNMERGE_SYSTEM,MATCH(AL24,DIFFERENTIATION_ID_DIFF,0)))</f>
        <v>Котельная №14, ул.Радиозаводская</v>
      </c>
      <c r="AM27" s="2402" t="str">
        <f>IF(AM24="","",INDEX(DIFFERENTIATION_UNMERGE_SYSTEM,MATCH(AM24,DIFFERENTIATION_ID_DIFF,0)))</f>
        <v>Котельная №25,  МКР Г-1, ул.Гидротехническая</v>
      </c>
      <c r="AN27" s="2136"/>
      <c r="BJ27" s="1640">
        <v>11</v>
      </c>
    </row>
    <row customHeight="1" ht="11.549999999999999">
      <c r="E28" s="2378" t="s">
        <v>373</v>
      </c>
      <c r="F28" s="2379"/>
      <c r="G28" s="2379"/>
      <c r="H28" s="1654"/>
      <c r="I28" s="1654"/>
      <c r="J28" s="2376"/>
      <c r="K28" s="2376"/>
      <c r="L28" s="2376"/>
      <c r="M28" s="2376"/>
      <c r="N28" s="2376"/>
      <c r="O28" s="2376"/>
      <c r="P28" s="2376"/>
      <c r="Q28" s="2376"/>
      <c r="R28" s="2376"/>
      <c r="S28" s="2376"/>
      <c r="T28" s="2376"/>
      <c r="U28" s="2376"/>
      <c r="V28" s="2376"/>
      <c r="W28" s="2376"/>
      <c r="X28" s="2376"/>
      <c r="Y28" s="2376"/>
      <c r="Z28" s="2376"/>
      <c r="AA28" s="2376"/>
      <c r="AB28" s="2376"/>
      <c r="AC28" s="2376"/>
      <c r="AD28" s="2376"/>
      <c r="AE28" s="2376"/>
      <c r="AF28" s="2376"/>
      <c r="AG28" s="2376"/>
      <c r="AH28" s="2376"/>
      <c r="AI28" s="2376"/>
      <c r="AJ28" s="2376"/>
      <c r="AK28" s="2376"/>
      <c r="AL28" s="2376"/>
      <c r="AM28" s="2376"/>
      <c r="AN28" s="2136"/>
      <c r="BJ28" s="1640">
        <v>11</v>
      </c>
    </row>
    <row customHeight="1" ht="24">
      <c r="E29" s="1655" t="s">
        <v>88</v>
      </c>
      <c r="F29" s="1662" t="s">
        <v>375</v>
      </c>
      <c r="G29" s="1662" t="s">
        <v>639</v>
      </c>
      <c r="H29" s="1662" t="s">
        <v>376</v>
      </c>
      <c r="I29" s="1662" t="s">
        <v>376</v>
      </c>
      <c r="J29" s="2321" t="s">
        <v>376</v>
      </c>
      <c r="K29" s="2321" t="s">
        <v>376</v>
      </c>
      <c r="L29" s="2321" t="s">
        <v>376</v>
      </c>
      <c r="M29" s="2321" t="s">
        <v>376</v>
      </c>
      <c r="N29" s="2321" t="s">
        <v>376</v>
      </c>
      <c r="O29" s="2321" t="s">
        <v>376</v>
      </c>
      <c r="P29" s="2321" t="s">
        <v>376</v>
      </c>
      <c r="Q29" s="2321" t="s">
        <v>376</v>
      </c>
      <c r="R29" s="2321" t="s">
        <v>376</v>
      </c>
      <c r="S29" s="2321" t="s">
        <v>376</v>
      </c>
      <c r="T29" s="2321" t="s">
        <v>376</v>
      </c>
      <c r="U29" s="2321" t="s">
        <v>376</v>
      </c>
      <c r="V29" s="2321" t="s">
        <v>376</v>
      </c>
      <c r="W29" s="2321" t="s">
        <v>376</v>
      </c>
      <c r="X29" s="2321" t="s">
        <v>376</v>
      </c>
      <c r="Y29" s="2321" t="s">
        <v>376</v>
      </c>
      <c r="Z29" s="2321" t="s">
        <v>376</v>
      </c>
      <c r="AA29" s="2321" t="s">
        <v>376</v>
      </c>
      <c r="AB29" s="2321" t="s">
        <v>376</v>
      </c>
      <c r="AC29" s="2321" t="s">
        <v>376</v>
      </c>
      <c r="AD29" s="2321" t="s">
        <v>376</v>
      </c>
      <c r="AE29" s="2321" t="s">
        <v>376</v>
      </c>
      <c r="AF29" s="2321" t="s">
        <v>376</v>
      </c>
      <c r="AG29" s="2321" t="s">
        <v>376</v>
      </c>
      <c r="AH29" s="2321" t="s">
        <v>376</v>
      </c>
      <c r="AI29" s="2321" t="s">
        <v>376</v>
      </c>
      <c r="AJ29" s="2321" t="s">
        <v>376</v>
      </c>
      <c r="AK29" s="2375" t="s">
        <v>376</v>
      </c>
      <c r="AL29" s="2375" t="s">
        <v>376</v>
      </c>
      <c r="AM29" s="2375" t="s">
        <v>376</v>
      </c>
      <c r="AN29" s="2136"/>
      <c r="BJ29" s="1640">
        <v>23</v>
      </c>
    </row>
    <row customHeight="1" ht="19.95">
      <c r="D30" s="1647"/>
      <c r="E30" s="555">
        <f>FHD_NUM_P_1</f>
        <v>1</v>
      </c>
      <c r="F30" s="1889" t="str">
        <f>FHD_P_1</f>
        <v>Выручка от регулируемого вида деятельности с распределением по видам деятельности</v>
      </c>
      <c r="G30" s="1887" t="s">
        <v>625</v>
      </c>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298" t="str">
        <f>FHD_NOTE_P_1</f>
        <v>Указывается выручка от регулируемого вида деятельности с распределением по видам деятельности.</v>
      </c>
      <c r="AO30" s="552"/>
      <c r="BJ30" s="1640">
        <v>19</v>
      </c>
    </row>
    <row customHeight="1" ht="11.549999999999999">
      <c r="D31" s="1647"/>
      <c r="E31" s="555">
        <f>FHD_NUM_P_2</f>
        <v>2</v>
      </c>
      <c r="F31" s="1889" t="str">
        <f>FHD_P_2</f>
        <v>Себестоимость производимых товаров (оказываемых услуг) по регулируемому виду деятельности, включая:</v>
      </c>
      <c r="G31" s="1887" t="s">
        <v>625</v>
      </c>
      <c r="H31" s="567">
        <f>SUMIF($AO33:$AO71,$AO31,H33:H71)</f>
        <v>0</v>
      </c>
      <c r="I31" s="567">
        <f>SUMIF($AO33:$AO71,$AO31,I33:I71)</f>
        <v>0</v>
      </c>
      <c r="J31" s="567">
        <f>SUMIF($AO33:$AO71,$AO31,J33:J71)</f>
        <v>0</v>
      </c>
      <c r="K31" s="567">
        <f>SUMIF($AO33:$AO71,$AO31,K33:K71)</f>
        <v>0</v>
      </c>
      <c r="L31" s="567">
        <f>SUMIF($AO33:$AO71,$AO31,L33:L71)</f>
        <v>0</v>
      </c>
      <c r="M31" s="567">
        <f>SUMIF($AO33:$AO71,$AO31,M33:M71)</f>
        <v>0</v>
      </c>
      <c r="N31" s="567">
        <f>SUMIF($AO33:$AO71,$AO31,N33:N71)</f>
        <v>0</v>
      </c>
      <c r="O31" s="567">
        <f>SUMIF($AO33:$AO71,$AO31,O33:O71)</f>
        <v>0</v>
      </c>
      <c r="P31" s="567">
        <f>SUMIF($AO33:$AO71,$AO31,P33:P71)</f>
        <v>0</v>
      </c>
      <c r="Q31" s="567">
        <f>SUMIF($AO33:$AO71,$AO31,Q33:Q71)</f>
        <v>0</v>
      </c>
      <c r="R31" s="567">
        <f>SUMIF($AO33:$AO71,$AO31,R33:R71)</f>
        <v>0</v>
      </c>
      <c r="S31" s="567">
        <f>SUMIF($AO33:$AO71,$AO31,S33:S71)</f>
        <v>0</v>
      </c>
      <c r="T31" s="567">
        <f>SUMIF($AO33:$AO71,$AO31,T33:T71)</f>
        <v>0</v>
      </c>
      <c r="U31" s="567">
        <f>SUMIF($AO33:$AO71,$AO31,U33:U71)</f>
        <v>0</v>
      </c>
      <c r="V31" s="567">
        <f>SUMIF($AO33:$AO71,$AO31,V33:V71)</f>
        <v>0</v>
      </c>
      <c r="W31" s="567">
        <f>SUMIF($AO33:$AO71,$AO31,W33:W71)</f>
        <v>0</v>
      </c>
      <c r="X31" s="567">
        <f>SUMIF($AO33:$AO71,$AO31,X33:X71)</f>
        <v>0</v>
      </c>
      <c r="Y31" s="567">
        <f>SUMIF($AO33:$AO71,$AO31,Y33:Y71)</f>
        <v>0</v>
      </c>
      <c r="Z31" s="567">
        <f>SUMIF($AO33:$AO71,$AO31,Z33:Z71)</f>
        <v>0</v>
      </c>
      <c r="AA31" s="567">
        <f>SUMIF($AO33:$AO71,$AO31,AA33:AA71)</f>
        <v>0</v>
      </c>
      <c r="AB31" s="567">
        <f>SUMIF($AO33:$AO71,$AO31,AB33:AB71)</f>
        <v>0</v>
      </c>
      <c r="AC31" s="567">
        <f>SUMIF($AO33:$AO71,$AO31,AC33:AC71)</f>
        <v>0</v>
      </c>
      <c r="AD31" s="567">
        <f>SUMIF($AO33:$AO71,$AO31,AD33:AD71)</f>
        <v>0</v>
      </c>
      <c r="AE31" s="567">
        <f>SUMIF($AO33:$AO71,$AO31,AE33:AE71)</f>
        <v>0</v>
      </c>
      <c r="AF31" s="567">
        <f>SUMIF($AO33:$AO71,$AO31,AF33:AF71)</f>
        <v>0</v>
      </c>
      <c r="AG31" s="567">
        <f>SUMIF($AO33:$AO71,$AO31,AG33:AG71)</f>
        <v>0</v>
      </c>
      <c r="AH31" s="567">
        <f>SUMIF($AO33:$AO71,$AO31,AH33:AH71)</f>
        <v>0</v>
      </c>
      <c r="AI31" s="567">
        <f>SUMIF($AO33:$AO71,$AO31,AI33:AI71)</f>
        <v>0</v>
      </c>
      <c r="AJ31" s="567">
        <f>SUMIF($AO33:$AO71,$AO31,AJ33:AJ71)</f>
        <v>0</v>
      </c>
      <c r="AK31" s="567">
        <f>SUMIF($AO33:$AO71,$AO31,AK33:AK71)</f>
        <v>0</v>
      </c>
      <c r="AL31" s="567">
        <f>SUMIF($AO33:$AO71,$AO31,AL33:AL71)</f>
        <v>0</v>
      </c>
      <c r="AM31" s="567">
        <f>SUMIF($AO33:$AO71,$AO31,AM33:AM71)</f>
        <v>0</v>
      </c>
      <c r="AN31" s="298" t="str">
        <f>FHD_NOTE_P_2</f>
        <v>Указывается суммарная себестоимость производимых товаров.</v>
      </c>
      <c r="AO31" s="1645" t="s">
        <v>640</v>
      </c>
      <c r="BJ31" s="1640">
        <v>11</v>
      </c>
    </row>
    <row customHeight="1" ht="11.549999999999999">
      <c r="D32" s="1647"/>
      <c r="E32" s="555" t="str">
        <f>FHD_NUM_P_3</f>
        <v>2.1</v>
      </c>
      <c r="F32" s="1533" t="str">
        <f>FHD_P_3</f>
        <v>Расходы на приобретаемую тепловую энергию (мощность), теплоноситель</v>
      </c>
      <c r="G32" s="1887" t="s">
        <v>625</v>
      </c>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298" t="str">
        <f>FHD_NOTE_P_3</f>
        <v/>
      </c>
      <c r="AO32" s="1645" t="str">
        <f>IF((LEN(E32)-LEN(SUBSTITUTE(E32,".","")))/LEN(".")=1,"p","")</f>
        <v>p</v>
      </c>
      <c r="BJ32" s="1640">
        <v>11</v>
      </c>
    </row>
    <row customHeight="1" ht="11.25">
      <c r="A33" s="2380" t="s">
        <v>641</v>
      </c>
      <c r="D33" s="1647"/>
      <c r="E33" s="555" t="str">
        <f>FHD_NUM_P_4</f>
        <v>2.2</v>
      </c>
      <c r="F33" s="153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7" t="s">
        <v>625</v>
      </c>
      <c r="H33" s="567">
        <f>SUMIF($F34:$F40,$F3,H34:H40)</f>
        <v>0</v>
      </c>
      <c r="I33" s="567">
        <f>SUMIF($F34:$F40,$F3,I34:I40)</f>
        <v>0</v>
      </c>
      <c r="J33" s="567">
        <f>SUMIF($F34:$F40,$F3,J34:J40)</f>
        <v>0</v>
      </c>
      <c r="K33" s="567">
        <f>SUMIF($F34:$F40,$F3,K34:K40)</f>
        <v>0</v>
      </c>
      <c r="L33" s="567">
        <f>SUMIF($F34:$F40,$F3,L34:L40)</f>
        <v>0</v>
      </c>
      <c r="M33" s="567">
        <f>SUMIF($F34:$F40,$F3,M34:M40)</f>
        <v>0</v>
      </c>
      <c r="N33" s="567">
        <f>SUMIF($F34:$F40,$F3,N34:N40)</f>
        <v>0</v>
      </c>
      <c r="O33" s="567">
        <f>SUMIF($F34:$F40,$F3,O34:O40)</f>
        <v>0</v>
      </c>
      <c r="P33" s="567">
        <f>SUMIF($F34:$F40,$F3,P34:P40)</f>
        <v>0</v>
      </c>
      <c r="Q33" s="567">
        <f>SUMIF($F34:$F40,$F3,Q34:Q40)</f>
        <v>0</v>
      </c>
      <c r="R33" s="567">
        <f>SUMIF($F34:$F40,$F3,R34:R40)</f>
        <v>0</v>
      </c>
      <c r="S33" s="567">
        <f>SUMIF($F34:$F40,$F3,S34:S40)</f>
        <v>0</v>
      </c>
      <c r="T33" s="567">
        <f>SUMIF($F34:$F40,$F3,T34:T40)</f>
        <v>0</v>
      </c>
      <c r="U33" s="567">
        <f>SUMIF($F34:$F40,$F3,U34:U40)</f>
        <v>0</v>
      </c>
      <c r="V33" s="567">
        <f>SUMIF($F34:$F40,$F3,V34:V40)</f>
        <v>0</v>
      </c>
      <c r="W33" s="567">
        <f>SUMIF($F34:$F40,$F3,W34:W40)</f>
        <v>0</v>
      </c>
      <c r="X33" s="567">
        <f>SUMIF($F34:$F40,$F3,X34:X40)</f>
        <v>0</v>
      </c>
      <c r="Y33" s="567">
        <f>SUMIF($F34:$F40,$F3,Y34:Y40)</f>
        <v>0</v>
      </c>
      <c r="Z33" s="567">
        <f>SUMIF($F34:$F40,$F3,Z34:Z40)</f>
        <v>0</v>
      </c>
      <c r="AA33" s="567">
        <f>SUMIF($F34:$F40,$F3,AA34:AA40)</f>
        <v>0</v>
      </c>
      <c r="AB33" s="567">
        <f>SUMIF($F34:$F40,$F3,AB34:AB40)</f>
        <v>0</v>
      </c>
      <c r="AC33" s="567">
        <f>SUMIF($F34:$F40,$F3,AC34:AC40)</f>
        <v>0</v>
      </c>
      <c r="AD33" s="567">
        <f>SUMIF($F34:$F40,$F3,AD34:AD40)</f>
        <v>0</v>
      </c>
      <c r="AE33" s="567">
        <f>SUMIF($F34:$F40,$F3,AE34:AE40)</f>
        <v>0</v>
      </c>
      <c r="AF33" s="567">
        <f>SUMIF($F34:$F40,$F3,AF34:AF40)</f>
        <v>0</v>
      </c>
      <c r="AG33" s="567">
        <f>SUMIF($F34:$F40,$F3,AG34:AG40)</f>
        <v>0</v>
      </c>
      <c r="AH33" s="567">
        <f>SUMIF($F34:$F40,$F3,AH34:AH40)</f>
        <v>0</v>
      </c>
      <c r="AI33" s="567">
        <f>SUMIF($F34:$F40,$F3,AI34:AI40)</f>
        <v>0</v>
      </c>
      <c r="AJ33" s="567">
        <f>SUMIF($F34:$F40,$F3,AJ34:AJ40)</f>
        <v>0</v>
      </c>
      <c r="AK33" s="567">
        <f>SUMIF($F34:$F40,$F3,AK34:AK40)</f>
        <v>0</v>
      </c>
      <c r="AL33" s="567">
        <f>SUMIF($F34:$F40,$F3,AL34:AL40)</f>
        <v>0</v>
      </c>
      <c r="AM33" s="567">
        <f>SUMIF($F34:$F40,$F3,AM34:AM40)</f>
        <v>0</v>
      </c>
      <c r="AN33" s="298" t="str">
        <f>FHD_NOTE_P_4</f>
        <v>Указываются суммарные расходы на приобретение топлива всех видов.</v>
      </c>
      <c r="AO33" s="1645" t="str">
        <f>IF((LEN(E33)-LEN(SUBSTITUTE(E33,".","")))/LEN(".")=1,"p","")</f>
        <v>p</v>
      </c>
      <c r="BJ33" s="1640">
        <v>0</v>
      </c>
    </row>
    <row s="1650" customFormat="1" customHeight="1" ht="0.75">
      <c r="A34" s="2380"/>
      <c r="B34" s="2381" t="str">
        <f>E33&amp;".0"</f>
        <v>2.2.0</v>
      </c>
      <c r="C34" s="1176"/>
      <c r="D34" s="569"/>
      <c r="E34" s="570"/>
      <c r="F34" s="571"/>
      <c r="G34" s="572"/>
      <c r="H34" s="506"/>
      <c r="I34" s="506"/>
      <c r="J34" s="506"/>
      <c r="K34" s="506"/>
      <c r="L34" s="506"/>
      <c r="M34" s="506"/>
      <c r="N34" s="506"/>
      <c r="O34" s="506"/>
      <c r="P34" s="506"/>
      <c r="Q34" s="506"/>
      <c r="R34" s="506"/>
      <c r="S34" s="506"/>
      <c r="T34" s="506"/>
      <c r="U34" s="506"/>
      <c r="V34" s="506"/>
      <c r="W34" s="506"/>
      <c r="X34" s="506"/>
      <c r="Y34" s="506"/>
      <c r="Z34" s="506"/>
      <c r="AA34" s="506"/>
      <c r="AB34" s="506"/>
      <c r="AC34" s="506"/>
      <c r="AD34" s="506"/>
      <c r="AE34" s="506"/>
      <c r="AF34" s="506"/>
      <c r="AG34" s="506"/>
      <c r="AH34" s="506"/>
      <c r="AI34" s="506"/>
      <c r="AJ34" s="506"/>
      <c r="AK34" s="506"/>
      <c r="AL34" s="506"/>
      <c r="AM34" s="506"/>
      <c r="AN34" s="573"/>
      <c r="AO34" s="1645" t="str">
        <f>IF((LEN(E34)-LEN(SUBSTITUTE(E34,".","")))/LEN(".")=1,"p","")</f>
        <v/>
      </c>
      <c r="AP34" s="1645"/>
      <c r="AQ34" s="1645"/>
      <c r="AR34" s="1645"/>
      <c r="AS34" s="1645"/>
      <c r="AT34" s="1645"/>
      <c r="AU34" s="1645"/>
      <c r="AV34" s="1645"/>
      <c r="AW34" s="1645"/>
      <c r="AX34" s="1645"/>
      <c r="AY34" s="574"/>
      <c r="AZ34" s="1645"/>
      <c r="BA34" s="1645"/>
      <c r="BB34" s="1645"/>
      <c r="BC34" s="1645"/>
      <c r="BD34" s="1645"/>
      <c r="BE34" s="575"/>
      <c r="BF34" s="575"/>
      <c r="BG34" s="575"/>
      <c r="BH34" s="575"/>
      <c r="BI34" s="575"/>
      <c r="BJ34" s="1650">
        <v>0</v>
      </c>
    </row>
    <row s="1650" customFormat="1" customHeight="1" ht="0.75">
      <c r="A35" s="2380"/>
      <c r="B35" s="2381"/>
      <c r="C35" s="1176"/>
      <c r="D35" s="569"/>
      <c r="E35" s="576"/>
      <c r="F35" s="577"/>
      <c r="G35" s="572"/>
      <c r="H35" s="578"/>
      <c r="I35" s="578"/>
      <c r="J35" s="578"/>
      <c r="K35" s="578"/>
      <c r="L35" s="578"/>
      <c r="M35" s="578"/>
      <c r="N35" s="578"/>
      <c r="O35" s="578"/>
      <c r="P35" s="578"/>
      <c r="Q35" s="578"/>
      <c r="R35" s="578"/>
      <c r="S35" s="578"/>
      <c r="T35" s="578"/>
      <c r="U35" s="578"/>
      <c r="V35" s="578"/>
      <c r="W35" s="578"/>
      <c r="X35" s="578"/>
      <c r="Y35" s="578"/>
      <c r="Z35" s="578"/>
      <c r="AA35" s="578"/>
      <c r="AB35" s="578"/>
      <c r="AC35" s="578"/>
      <c r="AD35" s="578"/>
      <c r="AE35" s="578"/>
      <c r="AF35" s="578"/>
      <c r="AG35" s="578"/>
      <c r="AH35" s="578"/>
      <c r="AI35" s="578"/>
      <c r="AJ35" s="578"/>
      <c r="AK35" s="578"/>
      <c r="AL35" s="578"/>
      <c r="AM35" s="578"/>
      <c r="AN35" s="573"/>
      <c r="AO35" s="1645" t="str">
        <f>IF((LEN(E35)-LEN(SUBSTITUTE(E35,".","")))/LEN(".")=1,"p","")</f>
        <v/>
      </c>
      <c r="AP35" s="1645"/>
      <c r="AQ35" s="1645"/>
      <c r="AR35" s="1645"/>
      <c r="AS35" s="1645"/>
      <c r="AT35" s="1645"/>
      <c r="AU35" s="1645"/>
      <c r="AV35" s="1645"/>
      <c r="AW35" s="1645"/>
      <c r="AX35" s="1645"/>
      <c r="AY35" s="574"/>
      <c r="AZ35" s="1645"/>
      <c r="BA35" s="1645"/>
      <c r="BB35" s="1645"/>
      <c r="BC35" s="1645"/>
      <c r="BD35" s="1645"/>
      <c r="BE35" s="575"/>
      <c r="BF35" s="575"/>
      <c r="BG35" s="575"/>
      <c r="BH35" s="575"/>
      <c r="BI35" s="575"/>
      <c r="BJ35" s="1650">
        <v>0</v>
      </c>
    </row>
    <row s="1650" customFormat="1" customHeight="1" ht="0.75">
      <c r="A36" s="2380"/>
      <c r="B36" s="2381"/>
      <c r="C36" s="1176"/>
      <c r="D36" s="569"/>
      <c r="E36" s="576"/>
      <c r="F36" s="577"/>
      <c r="G36" s="572"/>
      <c r="H36" s="578"/>
      <c r="I36" s="578"/>
      <c r="J36" s="578"/>
      <c r="K36" s="578"/>
      <c r="L36" s="578"/>
      <c r="M36" s="578"/>
      <c r="N36" s="578"/>
      <c r="O36" s="578"/>
      <c r="P36" s="578"/>
      <c r="Q36" s="578"/>
      <c r="R36" s="578"/>
      <c r="S36" s="578"/>
      <c r="T36" s="578"/>
      <c r="U36" s="578"/>
      <c r="V36" s="578"/>
      <c r="W36" s="578"/>
      <c r="X36" s="578"/>
      <c r="Y36" s="578"/>
      <c r="Z36" s="578"/>
      <c r="AA36" s="578"/>
      <c r="AB36" s="578"/>
      <c r="AC36" s="578"/>
      <c r="AD36" s="578"/>
      <c r="AE36" s="578"/>
      <c r="AF36" s="578"/>
      <c r="AG36" s="578"/>
      <c r="AH36" s="578"/>
      <c r="AI36" s="578"/>
      <c r="AJ36" s="578"/>
      <c r="AK36" s="578"/>
      <c r="AL36" s="578"/>
      <c r="AM36" s="578"/>
      <c r="AN36" s="573"/>
      <c r="AO36" s="1645" t="str">
        <f>IF((LEN(E36)-LEN(SUBSTITUTE(E36,".","")))/LEN(".")=1,"p","")</f>
        <v/>
      </c>
      <c r="AP36" s="1645"/>
      <c r="AQ36" s="1645"/>
      <c r="AR36" s="1645"/>
      <c r="AS36" s="1645"/>
      <c r="AT36" s="1645"/>
      <c r="AU36" s="1645"/>
      <c r="AV36" s="1645"/>
      <c r="AW36" s="1645"/>
      <c r="AX36" s="1645"/>
      <c r="AY36" s="574"/>
      <c r="AZ36" s="1645"/>
      <c r="BA36" s="1645"/>
      <c r="BB36" s="1645"/>
      <c r="BC36" s="1645"/>
      <c r="BD36" s="1645"/>
      <c r="BE36" s="575"/>
      <c r="BF36" s="575"/>
      <c r="BG36" s="575"/>
      <c r="BH36" s="575"/>
      <c r="BI36" s="575"/>
      <c r="BJ36" s="1650">
        <v>0</v>
      </c>
    </row>
    <row s="1650" customFormat="1" customHeight="1" ht="0.75">
      <c r="A37" s="2380"/>
      <c r="B37" s="2381"/>
      <c r="C37" s="1176"/>
      <c r="D37" s="569"/>
      <c r="E37" s="576"/>
      <c r="F37" s="577"/>
      <c r="G37" s="572"/>
      <c r="H37" s="578"/>
      <c r="I37" s="578"/>
      <c r="J37" s="578"/>
      <c r="K37" s="578"/>
      <c r="L37" s="578"/>
      <c r="M37" s="578"/>
      <c r="N37" s="578"/>
      <c r="O37" s="578"/>
      <c r="P37" s="578"/>
      <c r="Q37" s="578"/>
      <c r="R37" s="578"/>
      <c r="S37" s="578"/>
      <c r="T37" s="578"/>
      <c r="U37" s="578"/>
      <c r="V37" s="578"/>
      <c r="W37" s="578"/>
      <c r="X37" s="578"/>
      <c r="Y37" s="578"/>
      <c r="Z37" s="578"/>
      <c r="AA37" s="578"/>
      <c r="AB37" s="578"/>
      <c r="AC37" s="578"/>
      <c r="AD37" s="578"/>
      <c r="AE37" s="578"/>
      <c r="AF37" s="578"/>
      <c r="AG37" s="578"/>
      <c r="AH37" s="578"/>
      <c r="AI37" s="578"/>
      <c r="AJ37" s="578"/>
      <c r="AK37" s="578"/>
      <c r="AL37" s="578"/>
      <c r="AM37" s="578"/>
      <c r="AN37" s="573"/>
      <c r="AO37" s="1645" t="str">
        <f>IF((LEN(E37)-LEN(SUBSTITUTE(E37,".","")))/LEN(".")=1,"p","")</f>
        <v/>
      </c>
      <c r="AP37" s="1645"/>
      <c r="AQ37" s="1645"/>
      <c r="AR37" s="1645"/>
      <c r="AS37" s="1645"/>
      <c r="AT37" s="1645"/>
      <c r="AU37" s="1645"/>
      <c r="AV37" s="1645"/>
      <c r="AW37" s="1645"/>
      <c r="AX37" s="1645"/>
      <c r="AY37" s="574"/>
      <c r="AZ37" s="1645"/>
      <c r="BA37" s="1645"/>
      <c r="BB37" s="1645"/>
      <c r="BC37" s="1645"/>
      <c r="BD37" s="1645"/>
      <c r="BE37" s="575"/>
      <c r="BF37" s="575"/>
      <c r="BG37" s="575"/>
      <c r="BH37" s="575"/>
      <c r="BI37" s="575"/>
      <c r="BJ37" s="1650">
        <v>0</v>
      </c>
    </row>
    <row s="1650" customFormat="1" customHeight="1" ht="0.75">
      <c r="A38" s="2380"/>
      <c r="B38" s="2381"/>
      <c r="C38" s="1176"/>
      <c r="D38" s="569"/>
      <c r="E38" s="576"/>
      <c r="F38" s="577"/>
      <c r="G38" s="572"/>
      <c r="H38" s="578"/>
      <c r="I38" s="578"/>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c r="AG38" s="578"/>
      <c r="AH38" s="578"/>
      <c r="AI38" s="578"/>
      <c r="AJ38" s="578"/>
      <c r="AK38" s="578"/>
      <c r="AL38" s="578"/>
      <c r="AM38" s="578"/>
      <c r="AN38" s="573"/>
      <c r="AO38" s="1645" t="str">
        <f>IF((LEN(E38)-LEN(SUBSTITUTE(E38,".","")))/LEN(".")=1,"p","")</f>
        <v/>
      </c>
      <c r="AP38" s="1645"/>
      <c r="AQ38" s="1645"/>
      <c r="AR38" s="1645"/>
      <c r="AS38" s="1645"/>
      <c r="AT38" s="1645"/>
      <c r="AU38" s="1645"/>
      <c r="AV38" s="1645"/>
      <c r="AW38" s="1645"/>
      <c r="AX38" s="1645"/>
      <c r="AY38" s="574"/>
      <c r="AZ38" s="1645"/>
      <c r="BA38" s="1645"/>
      <c r="BB38" s="1645"/>
      <c r="BC38" s="1645"/>
      <c r="BD38" s="1645"/>
      <c r="BE38" s="575"/>
      <c r="BF38" s="575"/>
      <c r="BG38" s="575"/>
      <c r="BH38" s="575"/>
      <c r="BI38" s="575"/>
      <c r="BJ38" s="1650">
        <v>0</v>
      </c>
    </row>
    <row s="1650" customFormat="1" customHeight="1" ht="0.75">
      <c r="A39" s="2380"/>
      <c r="B39" s="2381"/>
      <c r="C39" s="1176"/>
      <c r="D39" s="569"/>
      <c r="E39" s="576"/>
      <c r="F39" s="577"/>
      <c r="G39" s="572"/>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73"/>
      <c r="AO39" s="1645" t="str">
        <f>IF((LEN(E39)-LEN(SUBSTITUTE(E39,".","")))/LEN(".")=1,"p","")</f>
        <v/>
      </c>
      <c r="AP39" s="1645"/>
      <c r="AQ39" s="1645"/>
      <c r="AR39" s="1645"/>
      <c r="AS39" s="1645"/>
      <c r="AT39" s="1645"/>
      <c r="AU39" s="1645"/>
      <c r="AV39" s="1645"/>
      <c r="AW39" s="1645"/>
      <c r="AX39" s="1645"/>
      <c r="AY39" s="574"/>
      <c r="AZ39" s="1645"/>
      <c r="BA39" s="1645"/>
      <c r="BB39" s="1645"/>
      <c r="BC39" s="1645"/>
      <c r="BD39" s="1645"/>
      <c r="BE39" s="575"/>
      <c r="BF39" s="575"/>
      <c r="BG39" s="575"/>
      <c r="BH39" s="575"/>
      <c r="BI39" s="575"/>
      <c r="BJ39" s="1650">
        <v>0</v>
      </c>
    </row>
    <row s="1375" customFormat="1" customHeight="1" ht="15">
      <c r="A40" s="2380"/>
      <c r="C40" s="1645"/>
      <c r="D40" s="1642"/>
      <c r="E40" s="579"/>
      <c r="F40" s="580" t="s">
        <v>642</v>
      </c>
      <c r="G40" s="581"/>
      <c r="H40" s="582"/>
      <c r="I40" s="582"/>
      <c r="J40" s="2641"/>
      <c r="K40" s="2642"/>
      <c r="L40" s="2643"/>
      <c r="M40" s="2644"/>
      <c r="N40" s="2645"/>
      <c r="O40" s="2646"/>
      <c r="P40" s="2647"/>
      <c r="Q40" s="2648"/>
      <c r="R40" s="2649"/>
      <c r="S40" s="2650"/>
      <c r="T40" s="2651"/>
      <c r="U40" s="2652"/>
      <c r="V40" s="2653"/>
      <c r="W40" s="2654"/>
      <c r="X40" s="2655"/>
      <c r="Y40" s="2656"/>
      <c r="Z40" s="2657"/>
      <c r="AA40" s="2658"/>
      <c r="AB40" s="2659"/>
      <c r="AC40" s="2660"/>
      <c r="AD40" s="2661"/>
      <c r="AE40" s="2662"/>
      <c r="AF40" s="2663"/>
      <c r="AG40" s="2664"/>
      <c r="AH40" s="2665"/>
      <c r="AI40" s="2666"/>
      <c r="AJ40" s="2667"/>
      <c r="AK40" s="3133"/>
      <c r="AL40" s="3134"/>
      <c r="AM40" s="3135"/>
      <c r="AN40" s="310"/>
      <c r="AO40" s="1645" t="str">
        <f>IF((LEN(E40)-LEN(SUBSTITUTE(E40,".","")))/LEN(".")=1,"p","")</f>
        <v/>
      </c>
      <c r="AP40" s="1645"/>
      <c r="AQ40" s="1645"/>
      <c r="AV40" s="1645"/>
      <c r="AY40" s="553"/>
      <c r="BE40" s="1641"/>
      <c r="BF40" s="1641"/>
      <c r="BG40" s="1641"/>
      <c r="BH40" s="1641"/>
      <c r="BI40" s="1641"/>
      <c r="BJ40" s="1169">
        <v>0</v>
      </c>
    </row>
    <row customHeight="1" ht="11.25" hidden="1">
      <c r="A41" s="2380" t="s">
        <v>643</v>
      </c>
      <c r="D41" s="1647"/>
      <c r="E41" s="555" t="str">
        <f>FHD_NUM_P_5</f>
        <v/>
      </c>
      <c r="F41" s="1533" t="str">
        <f>FHD_P_5</f>
        <v/>
      </c>
      <c r="G41" s="1887" t="s">
        <v>625</v>
      </c>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298" t="str">
        <f>FHD_NOTE_P_5</f>
        <v/>
      </c>
      <c r="AO41" s="1645" t="str">
        <f>IF((LEN(E41)-LEN(SUBSTITUTE(E41,".","")))/LEN(".")=1,"p","")</f>
        <v/>
      </c>
      <c r="BJ41" s="1640">
        <v>0</v>
      </c>
    </row>
    <row customHeight="1" ht="11.25" hidden="1">
      <c r="A42" s="2380"/>
      <c r="D42" s="1647"/>
      <c r="E42" s="555" t="str">
        <f>FHD_NUM_P_6</f>
        <v/>
      </c>
      <c r="F42" s="1533" t="str">
        <f>FHD_P_6</f>
        <v/>
      </c>
      <c r="G42" s="1887" t="s">
        <v>625</v>
      </c>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298" t="str">
        <f>FHD_NOTE_P_6</f>
        <v/>
      </c>
      <c r="AO42" s="1645" t="str">
        <f>IF((LEN(E42)-LEN(SUBSTITUTE(E42,".","")))/LEN(".")=1,"p","")</f>
        <v/>
      </c>
      <c r="BJ42" s="1640">
        <v>0</v>
      </c>
    </row>
    <row customHeight="1" ht="11.25" hidden="1">
      <c r="A43" s="2380"/>
      <c r="D43" s="1647"/>
      <c r="E43" s="555" t="str">
        <f>FHD_NUM_P_7</f>
        <v/>
      </c>
      <c r="F43" s="1533" t="str">
        <f>FHD_P_7</f>
        <v/>
      </c>
      <c r="G43" s="1887" t="s">
        <v>625</v>
      </c>
      <c r="H43" s="566"/>
      <c r="I43" s="566"/>
      <c r="J43" s="566"/>
      <c r="K43" s="566"/>
      <c r="L43" s="566"/>
      <c r="M43" s="566"/>
      <c r="N43" s="566"/>
      <c r="O43" s="566"/>
      <c r="P43" s="566"/>
      <c r="Q43" s="566"/>
      <c r="R43" s="566"/>
      <c r="S43" s="566"/>
      <c r="T43" s="566"/>
      <c r="U43" s="566"/>
      <c r="V43" s="566"/>
      <c r="W43" s="566"/>
      <c r="X43" s="566"/>
      <c r="Y43" s="566"/>
      <c r="Z43" s="566"/>
      <c r="AA43" s="566"/>
      <c r="AB43" s="566"/>
      <c r="AC43" s="566"/>
      <c r="AD43" s="566"/>
      <c r="AE43" s="566"/>
      <c r="AF43" s="566"/>
      <c r="AG43" s="566"/>
      <c r="AH43" s="566"/>
      <c r="AI43" s="566"/>
      <c r="AJ43" s="566"/>
      <c r="AK43" s="566"/>
      <c r="AL43" s="566"/>
      <c r="AM43" s="566"/>
      <c r="AN43" s="298" t="str">
        <f>FHD_NOTE_P_7</f>
        <v/>
      </c>
      <c r="AO43" s="1645" t="str">
        <f>IF((LEN(E43)-LEN(SUBSTITUTE(E43,".","")))/LEN(".")=1,"p","")</f>
        <v/>
      </c>
      <c r="BJ43" s="1640">
        <v>0</v>
      </c>
    </row>
    <row customHeight="1" ht="11.549999999999999">
      <c r="D44" s="1647"/>
      <c r="E44" s="555" t="str">
        <f>FHD_NUM_P_8</f>
        <v>2.3</v>
      </c>
      <c r="F44" s="1533" t="str">
        <f>FHD_P_8</f>
        <v>Расходы на приобретаемую электрическую энергию (мощность), используемую в технологическом процессе</v>
      </c>
      <c r="G44" s="1887" t="s">
        <v>625</v>
      </c>
      <c r="H44" s="566"/>
      <c r="I44" s="566"/>
      <c r="J44" s="566"/>
      <c r="K44" s="566"/>
      <c r="L44" s="566"/>
      <c r="M44" s="566"/>
      <c r="N44" s="566"/>
      <c r="O44" s="566"/>
      <c r="P44" s="566"/>
      <c r="Q44" s="566"/>
      <c r="R44" s="566"/>
      <c r="S44" s="566"/>
      <c r="T44" s="566"/>
      <c r="U44" s="566"/>
      <c r="V44" s="566"/>
      <c r="W44" s="566"/>
      <c r="X44" s="566"/>
      <c r="Y44" s="566"/>
      <c r="Z44" s="566"/>
      <c r="AA44" s="566"/>
      <c r="AB44" s="566"/>
      <c r="AC44" s="566"/>
      <c r="AD44" s="566"/>
      <c r="AE44" s="566"/>
      <c r="AF44" s="566"/>
      <c r="AG44" s="566"/>
      <c r="AH44" s="566"/>
      <c r="AI44" s="566"/>
      <c r="AJ44" s="566"/>
      <c r="AK44" s="566"/>
      <c r="AL44" s="566"/>
      <c r="AM44" s="566"/>
      <c r="AN44" s="298" t="str">
        <f>FHD_NOTE_P_8</f>
        <v/>
      </c>
      <c r="AO44" s="1645" t="str">
        <f>IF((LEN(E44)-LEN(SUBSTITUTE(E44,".","")))/LEN(".")=1,"p","")</f>
        <v>p</v>
      </c>
      <c r="BJ44" s="1640">
        <v>11</v>
      </c>
    </row>
    <row customHeight="1" ht="11.549999999999999">
      <c r="D45" s="1647"/>
      <c r="E45" s="555" t="str">
        <f>FHD_NUM_P_9</f>
        <v>2.3.1</v>
      </c>
      <c r="F45" s="1659" t="str">
        <f>FHD_P_9</f>
        <v>Средневзвешенная стоимость 1 кВт.ч (с учетом мощности)</v>
      </c>
      <c r="G45" s="1887" t="s">
        <v>644</v>
      </c>
      <c r="H45" s="566"/>
      <c r="I45" s="566"/>
      <c r="J45" s="566"/>
      <c r="K45" s="566"/>
      <c r="L45" s="566"/>
      <c r="M45" s="566"/>
      <c r="N45" s="566"/>
      <c r="O45" s="566"/>
      <c r="P45" s="566"/>
      <c r="Q45" s="566"/>
      <c r="R45" s="566"/>
      <c r="S45" s="566"/>
      <c r="T45" s="566"/>
      <c r="U45" s="566"/>
      <c r="V45" s="566"/>
      <c r="W45" s="566"/>
      <c r="X45" s="566"/>
      <c r="Y45" s="566"/>
      <c r="Z45" s="566"/>
      <c r="AA45" s="566"/>
      <c r="AB45" s="566"/>
      <c r="AC45" s="566"/>
      <c r="AD45" s="566"/>
      <c r="AE45" s="566"/>
      <c r="AF45" s="566"/>
      <c r="AG45" s="566"/>
      <c r="AH45" s="566"/>
      <c r="AI45" s="566"/>
      <c r="AJ45" s="566"/>
      <c r="AK45" s="566"/>
      <c r="AL45" s="566"/>
      <c r="AM45" s="566"/>
      <c r="AN45" s="298" t="str">
        <f>FHD_NOTE_P_9</f>
        <v/>
      </c>
      <c r="AO45" s="1645" t="str">
        <f>IF((LEN(E45)-LEN(SUBSTITUTE(E45,".","")))/LEN(".")=1,"p","")</f>
        <v/>
      </c>
      <c r="BJ45" s="1640">
        <v>11</v>
      </c>
    </row>
    <row s="1375" customFormat="1" customHeight="1" ht="11.549999999999999">
      <c r="A46" s="996"/>
      <c r="C46" s="1645"/>
      <c r="D46" s="583"/>
      <c r="E46" s="555" t="str">
        <f>FHD_NUM_P_10</f>
        <v>2.3.2</v>
      </c>
      <c r="F46" s="1659" t="str">
        <f>FHD_P_10</f>
        <v>Объём приобретения электрической энергии</v>
      </c>
      <c r="G46" s="1887" t="s">
        <v>645</v>
      </c>
      <c r="H46" s="566"/>
      <c r="I46" s="566"/>
      <c r="J46" s="566"/>
      <c r="K46" s="566"/>
      <c r="L46" s="566"/>
      <c r="M46" s="566"/>
      <c r="N46" s="566"/>
      <c r="O46" s="566"/>
      <c r="P46" s="566"/>
      <c r="Q46" s="566"/>
      <c r="R46" s="566"/>
      <c r="S46" s="566"/>
      <c r="T46" s="566"/>
      <c r="U46" s="566"/>
      <c r="V46" s="566"/>
      <c r="W46" s="566"/>
      <c r="X46" s="566"/>
      <c r="Y46" s="566"/>
      <c r="Z46" s="566"/>
      <c r="AA46" s="566"/>
      <c r="AB46" s="566"/>
      <c r="AC46" s="566"/>
      <c r="AD46" s="566"/>
      <c r="AE46" s="566"/>
      <c r="AF46" s="566"/>
      <c r="AG46" s="566"/>
      <c r="AH46" s="566"/>
      <c r="AI46" s="566"/>
      <c r="AJ46" s="566"/>
      <c r="AK46" s="566"/>
      <c r="AL46" s="566"/>
      <c r="AM46" s="566"/>
      <c r="AN46" s="298" t="str">
        <f>FHD_NOTE_P_10</f>
        <v/>
      </c>
      <c r="AO46" s="1645" t="str">
        <f>IF((LEN(E46)-LEN(SUBSTITUTE(E46,".","")))/LEN(".")=1,"p","")</f>
        <v/>
      </c>
      <c r="AP46" s="1645"/>
      <c r="AQ46" s="1645"/>
      <c r="AV46" s="1645"/>
      <c r="AY46" s="553"/>
      <c r="BE46" s="1641"/>
      <c r="BF46" s="1641"/>
      <c r="BG46" s="1641"/>
      <c r="BH46" s="1641"/>
      <c r="BI46" s="1641"/>
      <c r="BJ46" s="1169">
        <v>11</v>
      </c>
    </row>
    <row s="1375" customFormat="1" customHeight="1" ht="11.25">
      <c r="A47" s="998" t="s">
        <v>646</v>
      </c>
      <c r="C47" s="1645"/>
      <c r="D47" s="584"/>
      <c r="E47" s="555" t="str">
        <f>FHD_NUM_P_11</f>
        <v>2.4</v>
      </c>
      <c r="F47" s="1533" t="str">
        <f>FHD_P_11</f>
        <v>Расходы на приобретение холодной воды, используемой в технологическом процессе</v>
      </c>
      <c r="G47" s="1887" t="s">
        <v>625</v>
      </c>
      <c r="H47" s="566"/>
      <c r="I47" s="566"/>
      <c r="J47" s="566"/>
      <c r="K47" s="566"/>
      <c r="L47" s="566"/>
      <c r="M47" s="566"/>
      <c r="N47" s="566"/>
      <c r="O47" s="566"/>
      <c r="P47" s="566"/>
      <c r="Q47" s="566"/>
      <c r="R47" s="566"/>
      <c r="S47" s="566"/>
      <c r="T47" s="566"/>
      <c r="U47" s="566"/>
      <c r="V47" s="566"/>
      <c r="W47" s="566"/>
      <c r="X47" s="566"/>
      <c r="Y47" s="566"/>
      <c r="Z47" s="566"/>
      <c r="AA47" s="566"/>
      <c r="AB47" s="566"/>
      <c r="AC47" s="566"/>
      <c r="AD47" s="566"/>
      <c r="AE47" s="566"/>
      <c r="AF47" s="566"/>
      <c r="AG47" s="566"/>
      <c r="AH47" s="566"/>
      <c r="AI47" s="566"/>
      <c r="AJ47" s="566"/>
      <c r="AK47" s="566"/>
      <c r="AL47" s="566"/>
      <c r="AM47" s="566"/>
      <c r="AN47" s="298" t="str">
        <f>FHD_NOTE_P_11</f>
        <v/>
      </c>
      <c r="AO47" s="1645" t="str">
        <f>IF((LEN(E47)-LEN(SUBSTITUTE(E47,".","")))/LEN(".")=1,"p","")</f>
        <v>p</v>
      </c>
      <c r="AP47" s="1645"/>
      <c r="AQ47" s="1645"/>
      <c r="AV47" s="1645"/>
      <c r="AY47" s="553"/>
      <c r="BE47" s="1641"/>
      <c r="BF47" s="1641"/>
      <c r="BG47" s="1641"/>
      <c r="BH47" s="1641"/>
      <c r="BI47" s="1641"/>
      <c r="BJ47" s="1169">
        <v>0</v>
      </c>
    </row>
    <row s="1375" customFormat="1" customHeight="1" ht="18.75">
      <c r="A48" s="998" t="s">
        <v>647</v>
      </c>
      <c r="C48" s="1645"/>
      <c r="D48" s="1647"/>
      <c r="E48" s="555" t="str">
        <f>FHD_NUM_P_12</f>
        <v>2.5</v>
      </c>
      <c r="F48" s="1533" t="str">
        <f>FHD_P_12</f>
        <v>Расходы на  химические реагенты, используемые в технологическом процессе</v>
      </c>
      <c r="G48" s="1887" t="s">
        <v>625</v>
      </c>
      <c r="H48" s="586"/>
      <c r="I48" s="586"/>
      <c r="J48" s="586"/>
      <c r="K48" s="586"/>
      <c r="L48" s="586"/>
      <c r="M48" s="586"/>
      <c r="N48" s="586"/>
      <c r="O48" s="586"/>
      <c r="P48" s="586"/>
      <c r="Q48" s="586"/>
      <c r="R48" s="586"/>
      <c r="S48" s="586"/>
      <c r="T48" s="586"/>
      <c r="U48" s="586"/>
      <c r="V48" s="586"/>
      <c r="W48" s="586"/>
      <c r="X48" s="586"/>
      <c r="Y48" s="586"/>
      <c r="Z48" s="586"/>
      <c r="AA48" s="586"/>
      <c r="AB48" s="586"/>
      <c r="AC48" s="586"/>
      <c r="AD48" s="586"/>
      <c r="AE48" s="586"/>
      <c r="AF48" s="586"/>
      <c r="AG48" s="586"/>
      <c r="AH48" s="586"/>
      <c r="AI48" s="586"/>
      <c r="AJ48" s="586"/>
      <c r="AK48" s="586"/>
      <c r="AL48" s="586"/>
      <c r="AM48" s="586"/>
      <c r="AN48" s="298" t="str">
        <f>FHD_NOTE_P_12</f>
        <v/>
      </c>
      <c r="AO48" s="1645" t="str">
        <f>IF((LEN(E48)-LEN(SUBSTITUTE(E48,".","")))/LEN(".")=1,"p","")</f>
        <v>p</v>
      </c>
      <c r="AP48" s="1645"/>
      <c r="AQ48" s="1645"/>
      <c r="AV48" s="1645"/>
      <c r="AY48" s="553"/>
      <c r="BE48" s="1641"/>
      <c r="BF48" s="1641"/>
      <c r="BG48" s="1641"/>
      <c r="BH48" s="1641"/>
      <c r="BI48" s="1641"/>
      <c r="BJ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625</v>
      </c>
      <c r="H49" s="566"/>
      <c r="I49" s="566"/>
      <c r="J49" s="566"/>
      <c r="K49" s="566"/>
      <c r="L49" s="566"/>
      <c r="M49" s="566"/>
      <c r="N49" s="566"/>
      <c r="O49" s="566"/>
      <c r="P49" s="566"/>
      <c r="Q49" s="566"/>
      <c r="R49" s="566"/>
      <c r="S49" s="566"/>
      <c r="T49" s="566"/>
      <c r="U49" s="566"/>
      <c r="V49" s="566"/>
      <c r="W49" s="566"/>
      <c r="X49" s="566"/>
      <c r="Y49" s="566"/>
      <c r="Z49" s="566"/>
      <c r="AA49" s="566"/>
      <c r="AB49" s="566"/>
      <c r="AC49" s="566"/>
      <c r="AD49" s="566"/>
      <c r="AE49" s="566"/>
      <c r="AF49" s="566"/>
      <c r="AG49" s="566"/>
      <c r="AH49" s="566"/>
      <c r="AI49" s="566"/>
      <c r="AJ49" s="566"/>
      <c r="AK49" s="566"/>
      <c r="AL49" s="566"/>
      <c r="AM49" s="566"/>
      <c r="AN49" s="298" t="str">
        <f>FHD_NOTE_P_13</f>
        <v/>
      </c>
      <c r="AO49" s="1645" t="str">
        <f>IF((LEN(E49)-LEN(SUBSTITUTE(E49,".","")))/LEN(".")=1,"p","")</f>
        <v>p</v>
      </c>
      <c r="AP49" s="739"/>
      <c r="AQ49" s="739"/>
      <c r="AV49" s="739"/>
      <c r="AY49" s="740"/>
      <c r="BE49" s="741"/>
      <c r="BF49" s="741"/>
      <c r="BG49" s="741"/>
      <c r="BH49" s="741"/>
      <c r="BI49" s="741"/>
      <c r="BJ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625</v>
      </c>
      <c r="H50" s="566"/>
      <c r="I50" s="566"/>
      <c r="J50" s="566"/>
      <c r="K50" s="566"/>
      <c r="L50" s="566"/>
      <c r="M50" s="566"/>
      <c r="N50" s="566"/>
      <c r="O50" s="566"/>
      <c r="P50" s="566"/>
      <c r="Q50" s="566"/>
      <c r="R50" s="566"/>
      <c r="S50" s="566"/>
      <c r="T50" s="566"/>
      <c r="U50" s="566"/>
      <c r="V50" s="566"/>
      <c r="W50" s="566"/>
      <c r="X50" s="566"/>
      <c r="Y50" s="566"/>
      <c r="Z50" s="566"/>
      <c r="AA50" s="566"/>
      <c r="AB50" s="566"/>
      <c r="AC50" s="566"/>
      <c r="AD50" s="566"/>
      <c r="AE50" s="566"/>
      <c r="AF50" s="566"/>
      <c r="AG50" s="566"/>
      <c r="AH50" s="566"/>
      <c r="AI50" s="566"/>
      <c r="AJ50" s="566"/>
      <c r="AK50" s="566"/>
      <c r="AL50" s="566"/>
      <c r="AM50" s="566"/>
      <c r="AN50" s="298" t="str">
        <f>FHD_NOTE_P_14</f>
        <v/>
      </c>
      <c r="AO50" s="1645" t="str">
        <f>IF((LEN(E50)-LEN(SUBSTITUTE(E50,".","")))/LEN(".")=1,"p","")</f>
        <v/>
      </c>
      <c r="AP50" s="739"/>
      <c r="AQ50" s="739"/>
      <c r="AV50" s="739"/>
      <c r="AY50" s="740"/>
      <c r="BE50" s="741"/>
      <c r="BF50" s="741"/>
      <c r="BG50" s="741"/>
      <c r="BH50" s="741"/>
      <c r="BI50" s="741"/>
      <c r="BJ50" s="738">
        <v>11</v>
      </c>
    </row>
    <row s="1374" customFormat="1" customHeight="1" ht="11.549999999999999">
      <c r="A51" s="997"/>
      <c r="C51" s="739"/>
      <c r="D51" s="682"/>
      <c r="E51" s="555" t="str">
        <f>FHD_NUM_P_15</f>
        <v>2.6.2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625</v>
      </c>
      <c r="H51" s="566"/>
      <c r="I51" s="566"/>
      <c r="J51" s="566"/>
      <c r="K51" s="566"/>
      <c r="L51" s="566"/>
      <c r="M51" s="566"/>
      <c r="N51" s="566"/>
      <c r="O51" s="566"/>
      <c r="P51" s="566"/>
      <c r="Q51" s="566"/>
      <c r="R51" s="566"/>
      <c r="S51" s="566"/>
      <c r="T51" s="566"/>
      <c r="U51" s="566"/>
      <c r="V51" s="566"/>
      <c r="W51" s="566"/>
      <c r="X51" s="566"/>
      <c r="Y51" s="566"/>
      <c r="Z51" s="566"/>
      <c r="AA51" s="566"/>
      <c r="AB51" s="566"/>
      <c r="AC51" s="566"/>
      <c r="AD51" s="566"/>
      <c r="AE51" s="566"/>
      <c r="AF51" s="566"/>
      <c r="AG51" s="566"/>
      <c r="AH51" s="566"/>
      <c r="AI51" s="566"/>
      <c r="AJ51" s="566"/>
      <c r="AK51" s="566"/>
      <c r="AL51" s="566"/>
      <c r="AM51" s="566"/>
      <c r="AN51" s="298" t="str">
        <f>FHD_NOTE_P_15</f>
        <v/>
      </c>
      <c r="AO51" s="1645" t="str">
        <f>IF((LEN(E51)-LEN(SUBSTITUTE(E51,".","")))/LEN(".")=1,"p","")</f>
        <v/>
      </c>
      <c r="AP51" s="739"/>
      <c r="AQ51" s="739"/>
      <c r="AV51" s="739"/>
      <c r="AY51" s="740"/>
      <c r="BE51" s="741"/>
      <c r="BF51" s="741"/>
      <c r="BG51" s="741"/>
      <c r="BH51" s="741"/>
      <c r="BI51" s="741"/>
      <c r="BJ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7" t="s">
        <v>625</v>
      </c>
      <c r="H52" s="566"/>
      <c r="I52" s="566"/>
      <c r="J52" s="566"/>
      <c r="K52" s="566"/>
      <c r="L52" s="566"/>
      <c r="M52" s="566"/>
      <c r="N52" s="566"/>
      <c r="O52" s="566"/>
      <c r="P52" s="566"/>
      <c r="Q52" s="566"/>
      <c r="R52" s="566"/>
      <c r="S52" s="566"/>
      <c r="T52" s="566"/>
      <c r="U52" s="566"/>
      <c r="V52" s="566"/>
      <c r="W52" s="566"/>
      <c r="X52" s="566"/>
      <c r="Y52" s="566"/>
      <c r="Z52" s="566"/>
      <c r="AA52" s="566"/>
      <c r="AB52" s="566"/>
      <c r="AC52" s="566"/>
      <c r="AD52" s="566"/>
      <c r="AE52" s="566"/>
      <c r="AF52" s="566"/>
      <c r="AG52" s="566"/>
      <c r="AH52" s="566"/>
      <c r="AI52" s="566"/>
      <c r="AJ52" s="566"/>
      <c r="AK52" s="566"/>
      <c r="AL52" s="566"/>
      <c r="AM52" s="566"/>
      <c r="AN52" s="298" t="str">
        <f>FHD_NOTE_P_16</f>
        <v/>
      </c>
      <c r="AO52" s="1645" t="str">
        <f>IF((LEN(E52)-LEN(SUBSTITUTE(E52,".","")))/LEN(".")=1,"p","")</f>
        <v>p</v>
      </c>
      <c r="AP52" s="1645"/>
      <c r="AQ52" s="1651"/>
      <c r="AR52" s="546"/>
      <c r="AS52" s="546"/>
      <c r="AV52" s="1645"/>
      <c r="AY52" s="553"/>
      <c r="BE52" s="1641"/>
      <c r="BF52" s="1641"/>
      <c r="BG52" s="1641"/>
      <c r="BH52" s="1641"/>
      <c r="BI52" s="1641"/>
      <c r="BJ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625</v>
      </c>
      <c r="H53" s="566"/>
      <c r="I53" s="566"/>
      <c r="J53" s="566"/>
      <c r="K53" s="566"/>
      <c r="L53" s="566"/>
      <c r="M53" s="566"/>
      <c r="N53" s="566"/>
      <c r="O53" s="566"/>
      <c r="P53" s="566"/>
      <c r="Q53" s="566"/>
      <c r="R53" s="566"/>
      <c r="S53" s="566"/>
      <c r="T53" s="566"/>
      <c r="U53" s="566"/>
      <c r="V53" s="566"/>
      <c r="W53" s="566"/>
      <c r="X53" s="566"/>
      <c r="Y53" s="566"/>
      <c r="Z53" s="566"/>
      <c r="AA53" s="566"/>
      <c r="AB53" s="566"/>
      <c r="AC53" s="566"/>
      <c r="AD53" s="566"/>
      <c r="AE53" s="566"/>
      <c r="AF53" s="566"/>
      <c r="AG53" s="566"/>
      <c r="AH53" s="566"/>
      <c r="AI53" s="566"/>
      <c r="AJ53" s="566"/>
      <c r="AK53" s="566"/>
      <c r="AL53" s="566"/>
      <c r="AM53" s="566"/>
      <c r="AN53" s="298" t="str">
        <f>FHD_NOTE_P_17</f>
        <v/>
      </c>
      <c r="AO53" s="1645" t="str">
        <f>IF((LEN(E53)-LEN(SUBSTITUTE(E53,".","")))/LEN(".")=1,"p","")</f>
        <v/>
      </c>
      <c r="AP53" s="1645"/>
      <c r="AQ53" s="1651"/>
      <c r="AR53" s="546"/>
      <c r="AS53" s="546"/>
      <c r="AV53" s="1645"/>
      <c r="AY53" s="553"/>
      <c r="BE53" s="1641"/>
      <c r="BF53" s="1641"/>
      <c r="BG53" s="1641"/>
      <c r="BH53" s="1641"/>
      <c r="BI53" s="1641"/>
      <c r="BJ53" s="1169">
        <v>11</v>
      </c>
    </row>
    <row s="1375" customFormat="1" customHeight="1" ht="11.549999999999999">
      <c r="A54" s="996"/>
      <c r="C54" s="1645"/>
      <c r="D54" s="1647"/>
      <c r="E54" s="555" t="str">
        <f>FHD_NUM_P_18</f>
        <v>2.7.2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625</v>
      </c>
      <c r="H54" s="566"/>
      <c r="I54" s="566"/>
      <c r="J54" s="566"/>
      <c r="K54" s="566"/>
      <c r="L54" s="566"/>
      <c r="M54" s="566"/>
      <c r="N54" s="566"/>
      <c r="O54" s="566"/>
      <c r="P54" s="566"/>
      <c r="Q54" s="566"/>
      <c r="R54" s="566"/>
      <c r="S54" s="566"/>
      <c r="T54" s="566"/>
      <c r="U54" s="566"/>
      <c r="V54" s="566"/>
      <c r="W54" s="566"/>
      <c r="X54" s="566"/>
      <c r="Y54" s="566"/>
      <c r="Z54" s="566"/>
      <c r="AA54" s="566"/>
      <c r="AB54" s="566"/>
      <c r="AC54" s="566"/>
      <c r="AD54" s="566"/>
      <c r="AE54" s="566"/>
      <c r="AF54" s="566"/>
      <c r="AG54" s="566"/>
      <c r="AH54" s="566"/>
      <c r="AI54" s="566"/>
      <c r="AJ54" s="566"/>
      <c r="AK54" s="566"/>
      <c r="AL54" s="566"/>
      <c r="AM54" s="566"/>
      <c r="AN54" s="298" t="str">
        <f>FHD_NOTE_P_18</f>
        <v/>
      </c>
      <c r="AO54" s="1645" t="str">
        <f>IF((LEN(E54)-LEN(SUBSTITUTE(E54,".","")))/LEN(".")=1,"p","")</f>
        <v/>
      </c>
      <c r="AP54" s="1645"/>
      <c r="AQ54" s="1651"/>
      <c r="AR54" s="546"/>
      <c r="AS54" s="546"/>
      <c r="AV54" s="1645"/>
      <c r="AY54" s="553"/>
      <c r="BE54" s="1641"/>
      <c r="BF54" s="1641"/>
      <c r="BG54" s="1641"/>
      <c r="BH54" s="1641"/>
      <c r="BI54" s="1641"/>
      <c r="BJ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625</v>
      </c>
      <c r="H55" s="566"/>
      <c r="I55" s="566"/>
      <c r="J55" s="566"/>
      <c r="K55" s="566"/>
      <c r="L55" s="566"/>
      <c r="M55" s="566"/>
      <c r="N55" s="566"/>
      <c r="O55" s="566"/>
      <c r="P55" s="566"/>
      <c r="Q55" s="566"/>
      <c r="R55" s="566"/>
      <c r="S55" s="566"/>
      <c r="T55" s="566"/>
      <c r="U55" s="566"/>
      <c r="V55" s="566"/>
      <c r="W55" s="566"/>
      <c r="X55" s="566"/>
      <c r="Y55" s="566"/>
      <c r="Z55" s="566"/>
      <c r="AA55" s="566"/>
      <c r="AB55" s="566"/>
      <c r="AC55" s="566"/>
      <c r="AD55" s="566"/>
      <c r="AE55" s="566"/>
      <c r="AF55" s="566"/>
      <c r="AG55" s="566"/>
      <c r="AH55" s="566"/>
      <c r="AI55" s="566"/>
      <c r="AJ55" s="566"/>
      <c r="AK55" s="566"/>
      <c r="AL55" s="566"/>
      <c r="AM55" s="566"/>
      <c r="AN55" s="298" t="str">
        <f>FHD_NOTE_P_19</f>
        <v/>
      </c>
      <c r="AO55" s="1645" t="str">
        <f>IF((LEN(E55)-LEN(SUBSTITUTE(E55,".","")))/LEN(".")=1,"p","")</f>
        <v>p</v>
      </c>
      <c r="AP55" s="1645"/>
      <c r="AQ55" s="1645"/>
      <c r="AV55" s="1645"/>
      <c r="AY55" s="553"/>
      <c r="BE55" s="1641"/>
      <c r="BF55" s="1641"/>
      <c r="BG55" s="1641"/>
      <c r="BH55" s="1641"/>
      <c r="BI55" s="1641"/>
      <c r="BJ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625</v>
      </c>
      <c r="H56" s="566"/>
      <c r="I56" s="566"/>
      <c r="J56" s="566"/>
      <c r="K56" s="566"/>
      <c r="L56" s="566"/>
      <c r="M56" s="566"/>
      <c r="N56" s="566"/>
      <c r="O56" s="566"/>
      <c r="P56" s="566"/>
      <c r="Q56" s="566"/>
      <c r="R56" s="566"/>
      <c r="S56" s="566"/>
      <c r="T56" s="566"/>
      <c r="U56" s="566"/>
      <c r="V56" s="566"/>
      <c r="W56" s="566"/>
      <c r="X56" s="566"/>
      <c r="Y56" s="566"/>
      <c r="Z56" s="566"/>
      <c r="AA56" s="566"/>
      <c r="AB56" s="566"/>
      <c r="AC56" s="566"/>
      <c r="AD56" s="566"/>
      <c r="AE56" s="566"/>
      <c r="AF56" s="566"/>
      <c r="AG56" s="566"/>
      <c r="AH56" s="566"/>
      <c r="AI56" s="566"/>
      <c r="AJ56" s="566"/>
      <c r="AK56" s="566"/>
      <c r="AL56" s="566"/>
      <c r="AM56" s="566"/>
      <c r="AN56" s="298" t="str">
        <f>FHD_NOTE_P_20</f>
        <v/>
      </c>
      <c r="AO56" s="1645" t="str">
        <f>IF((LEN(E56)-LEN(SUBSTITUTE(E56,".","")))/LEN(".")=1,"p","")</f>
        <v/>
      </c>
      <c r="AP56" s="1645"/>
      <c r="AQ56" s="1645"/>
      <c r="AV56" s="1645"/>
      <c r="AY56" s="553"/>
      <c r="BE56" s="1641"/>
      <c r="BF56" s="1641"/>
      <c r="BG56" s="1641"/>
      <c r="BH56" s="1641"/>
      <c r="BI56" s="1641"/>
      <c r="BJ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625</v>
      </c>
      <c r="H57" s="566"/>
      <c r="I57" s="566"/>
      <c r="J57" s="566"/>
      <c r="K57" s="566"/>
      <c r="L57" s="566"/>
      <c r="M57" s="566"/>
      <c r="N57" s="566"/>
      <c r="O57" s="566"/>
      <c r="P57" s="566"/>
      <c r="Q57" s="566"/>
      <c r="R57" s="566"/>
      <c r="S57" s="566"/>
      <c r="T57" s="566"/>
      <c r="U57" s="566"/>
      <c r="V57" s="566"/>
      <c r="W57" s="566"/>
      <c r="X57" s="566"/>
      <c r="Y57" s="566"/>
      <c r="Z57" s="566"/>
      <c r="AA57" s="566"/>
      <c r="AB57" s="566"/>
      <c r="AC57" s="566"/>
      <c r="AD57" s="566"/>
      <c r="AE57" s="566"/>
      <c r="AF57" s="566"/>
      <c r="AG57" s="566"/>
      <c r="AH57" s="566"/>
      <c r="AI57" s="566"/>
      <c r="AJ57" s="566"/>
      <c r="AK57" s="566"/>
      <c r="AL57" s="566"/>
      <c r="AM57" s="566"/>
      <c r="AN57" s="298" t="str">
        <f>FHD_NOTE_P_21</f>
        <v/>
      </c>
      <c r="AO57" s="1645" t="str">
        <f>IF((LEN(E57)-LEN(SUBSTITUTE(E57,".","")))/LEN(".")=1,"p","")</f>
        <v/>
      </c>
      <c r="AP57" s="1645"/>
      <c r="AQ57" s="1645"/>
      <c r="AV57" s="1645"/>
      <c r="AY57" s="553"/>
      <c r="BE57" s="1641"/>
      <c r="BF57" s="1641"/>
      <c r="BG57" s="1641"/>
      <c r="BH57" s="1641"/>
      <c r="BI57" s="1641"/>
      <c r="BJ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регулируемого вида деятельности</v>
      </c>
      <c r="G58" s="1887" t="s">
        <v>625</v>
      </c>
      <c r="H58" s="566"/>
      <c r="I58" s="566"/>
      <c r="J58" s="566"/>
      <c r="K58" s="566"/>
      <c r="L58" s="566"/>
      <c r="M58" s="566"/>
      <c r="N58" s="566"/>
      <c r="O58" s="566"/>
      <c r="P58" s="566"/>
      <c r="Q58" s="566"/>
      <c r="R58" s="566"/>
      <c r="S58" s="566"/>
      <c r="T58" s="566"/>
      <c r="U58" s="566"/>
      <c r="V58" s="566"/>
      <c r="W58" s="566"/>
      <c r="X58" s="566"/>
      <c r="Y58" s="566"/>
      <c r="Z58" s="566"/>
      <c r="AA58" s="566"/>
      <c r="AB58" s="566"/>
      <c r="AC58" s="566"/>
      <c r="AD58" s="566"/>
      <c r="AE58" s="566"/>
      <c r="AF58" s="566"/>
      <c r="AG58" s="566"/>
      <c r="AH58" s="566"/>
      <c r="AI58" s="566"/>
      <c r="AJ58" s="566"/>
      <c r="AK58" s="566"/>
      <c r="AL58" s="566"/>
      <c r="AM58" s="566"/>
      <c r="AN58" s="298" t="str">
        <f>FHD_NOTE_P_22</f>
        <v/>
      </c>
      <c r="AO58" s="1645" t="str">
        <f>IF((LEN(E58)-LEN(SUBSTITUTE(E58,".","")))/LEN(".")=1,"p","")</f>
        <v>p</v>
      </c>
      <c r="AP58" s="1645"/>
      <c r="AQ58" s="1645"/>
      <c r="AV58" s="1645"/>
      <c r="AY58" s="553"/>
      <c r="BE58" s="1641"/>
      <c r="BF58" s="1641"/>
      <c r="BG58" s="1641"/>
      <c r="BH58" s="1641"/>
      <c r="BI58" s="1641"/>
      <c r="BJ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625</v>
      </c>
      <c r="H59" s="566"/>
      <c r="I59" s="566"/>
      <c r="J59" s="566"/>
      <c r="K59" s="566"/>
      <c r="L59" s="566"/>
      <c r="M59" s="566"/>
      <c r="N59" s="566"/>
      <c r="O59" s="566"/>
      <c r="P59" s="566"/>
      <c r="Q59" s="566"/>
      <c r="R59" s="566"/>
      <c r="S59" s="566"/>
      <c r="T59" s="566"/>
      <c r="U59" s="566"/>
      <c r="V59" s="566"/>
      <c r="W59" s="566"/>
      <c r="X59" s="566"/>
      <c r="Y59" s="566"/>
      <c r="Z59" s="566"/>
      <c r="AA59" s="566"/>
      <c r="AB59" s="566"/>
      <c r="AC59" s="566"/>
      <c r="AD59" s="566"/>
      <c r="AE59" s="566"/>
      <c r="AF59" s="566"/>
      <c r="AG59" s="566"/>
      <c r="AH59" s="566"/>
      <c r="AI59" s="566"/>
      <c r="AJ59" s="566"/>
      <c r="AK59" s="566"/>
      <c r="AL59" s="566"/>
      <c r="AM59" s="566"/>
      <c r="AN59" s="298" t="str">
        <f>FHD_NOTE_P_23</f>
        <v>Указывается общая сумма общепроизводственных расходов.</v>
      </c>
      <c r="AO59" s="1645" t="str">
        <f>IF((LEN(E59)-LEN(SUBSTITUTE(E59,".","")))/LEN(".")=1,"p","")</f>
        <v>p</v>
      </c>
      <c r="AP59" s="1645"/>
      <c r="AQ59" s="1645"/>
      <c r="AV59" s="1645"/>
      <c r="AY59" s="553"/>
      <c r="BE59" s="1641"/>
      <c r="BF59" s="1641"/>
      <c r="BG59" s="1641"/>
      <c r="BH59" s="1641"/>
      <c r="BI59" s="1641"/>
      <c r="BJ59" s="1169">
        <v>11</v>
      </c>
    </row>
    <row s="1375" customFormat="1" customHeight="1" ht="11.549999999999999">
      <c r="A60" s="996"/>
      <c r="C60" s="1645"/>
      <c r="D60" s="584"/>
      <c r="E60" s="555" t="str">
        <f>FHD_NUM_P_24</f>
        <v>2.10.1</v>
      </c>
      <c r="F60" s="1659" t="str">
        <f>FHD_P_24</f>
        <v>Расходы на текущий ремонт</v>
      </c>
      <c r="G60" s="1887" t="s">
        <v>625</v>
      </c>
      <c r="H60" s="566"/>
      <c r="I60" s="566"/>
      <c r="J60" s="566"/>
      <c r="K60" s="566"/>
      <c r="L60" s="566"/>
      <c r="M60" s="566"/>
      <c r="N60" s="566"/>
      <c r="O60" s="566"/>
      <c r="P60" s="566"/>
      <c r="Q60" s="566"/>
      <c r="R60" s="566"/>
      <c r="S60" s="566"/>
      <c r="T60" s="566"/>
      <c r="U60" s="566"/>
      <c r="V60" s="566"/>
      <c r="W60" s="566"/>
      <c r="X60" s="566"/>
      <c r="Y60" s="566"/>
      <c r="Z60" s="566"/>
      <c r="AA60" s="566"/>
      <c r="AB60" s="566"/>
      <c r="AC60" s="566"/>
      <c r="AD60" s="566"/>
      <c r="AE60" s="566"/>
      <c r="AF60" s="566"/>
      <c r="AG60" s="566"/>
      <c r="AH60" s="566"/>
      <c r="AI60" s="566"/>
      <c r="AJ60" s="566"/>
      <c r="AK60" s="566"/>
      <c r="AL60" s="566"/>
      <c r="AM60" s="566"/>
      <c r="AN60" s="298" t="str">
        <f>FHD_NOTE_P_24</f>
        <v>Указываются расходы на текущий ремонт, отнесенные к общепроизводственным расходам.</v>
      </c>
      <c r="AO60" s="1645" t="str">
        <f>IF((LEN(E60)-LEN(SUBSTITUTE(E60,".","")))/LEN(".")=1,"p","")</f>
        <v/>
      </c>
      <c r="AP60" s="1645"/>
      <c r="AQ60" s="1645"/>
      <c r="AV60" s="1645"/>
      <c r="AY60" s="553"/>
      <c r="BE60" s="1641"/>
      <c r="BF60" s="1641"/>
      <c r="BG60" s="1641"/>
      <c r="BH60" s="1641"/>
      <c r="BI60" s="1641"/>
      <c r="BJ60" s="1169">
        <v>11</v>
      </c>
    </row>
    <row s="1375" customFormat="1" customHeight="1" ht="11.549999999999999">
      <c r="A61" s="996"/>
      <c r="C61" s="1645"/>
      <c r="D61" s="584"/>
      <c r="E61" s="555" t="str">
        <f>FHD_NUM_P_25</f>
        <v>2.10.2</v>
      </c>
      <c r="F61" s="1659" t="str">
        <f>FHD_P_25</f>
        <v>Расходы на капитальный ремонт</v>
      </c>
      <c r="G61" s="1887" t="s">
        <v>625</v>
      </c>
      <c r="H61" s="566"/>
      <c r="I61" s="566"/>
      <c r="J61" s="566"/>
      <c r="K61" s="566"/>
      <c r="L61" s="566"/>
      <c r="M61" s="566"/>
      <c r="N61" s="566"/>
      <c r="O61" s="566"/>
      <c r="P61" s="566"/>
      <c r="Q61" s="566"/>
      <c r="R61" s="566"/>
      <c r="S61" s="566"/>
      <c r="T61" s="566"/>
      <c r="U61" s="566"/>
      <c r="V61" s="566"/>
      <c r="W61" s="566"/>
      <c r="X61" s="566"/>
      <c r="Y61" s="566"/>
      <c r="Z61" s="566"/>
      <c r="AA61" s="566"/>
      <c r="AB61" s="566"/>
      <c r="AC61" s="566"/>
      <c r="AD61" s="566"/>
      <c r="AE61" s="566"/>
      <c r="AF61" s="566"/>
      <c r="AG61" s="566"/>
      <c r="AH61" s="566"/>
      <c r="AI61" s="566"/>
      <c r="AJ61" s="566"/>
      <c r="AK61" s="566"/>
      <c r="AL61" s="566"/>
      <c r="AM61" s="566"/>
      <c r="AN61" s="298" t="str">
        <f>FHD_NOTE_P_25</f>
        <v>Указываются расходы на капитальный ремонт, отнесенные к общепроизводственным расходам.</v>
      </c>
      <c r="AO61" s="1645" t="str">
        <f>IF((LEN(E61)-LEN(SUBSTITUTE(E61,".","")))/LEN(".")=1,"p","")</f>
        <v/>
      </c>
      <c r="AP61" s="1645"/>
      <c r="AQ61" s="1645"/>
      <c r="AV61" s="1645"/>
      <c r="AY61" s="553"/>
      <c r="BE61" s="1641"/>
      <c r="BF61" s="1641"/>
      <c r="BG61" s="1641"/>
      <c r="BH61" s="1641"/>
      <c r="BI61" s="1641"/>
      <c r="BJ61" s="1169">
        <v>11</v>
      </c>
    </row>
    <row s="1375" customFormat="1" customHeight="1" ht="11.549999999999999">
      <c r="A62" s="996"/>
      <c r="C62" s="1645"/>
      <c r="D62" s="1647"/>
      <c r="E62" s="555" t="str">
        <f>FHD_NUM_P_26</f>
        <v>2.11</v>
      </c>
      <c r="F62" s="1533" t="str">
        <f>FHD_P_26</f>
        <v>Общехозяйственные расходы, в том числе:</v>
      </c>
      <c r="G62" s="1887" t="s">
        <v>625</v>
      </c>
      <c r="H62" s="566"/>
      <c r="I62" s="566"/>
      <c r="J62" s="566"/>
      <c r="K62" s="566"/>
      <c r="L62" s="566"/>
      <c r="M62" s="566"/>
      <c r="N62" s="566"/>
      <c r="O62" s="566"/>
      <c r="P62" s="566"/>
      <c r="Q62" s="566"/>
      <c r="R62" s="566"/>
      <c r="S62" s="566"/>
      <c r="T62" s="566"/>
      <c r="U62" s="566"/>
      <c r="V62" s="566"/>
      <c r="W62" s="566"/>
      <c r="X62" s="566"/>
      <c r="Y62" s="566"/>
      <c r="Z62" s="566"/>
      <c r="AA62" s="566"/>
      <c r="AB62" s="566"/>
      <c r="AC62" s="566"/>
      <c r="AD62" s="566"/>
      <c r="AE62" s="566"/>
      <c r="AF62" s="566"/>
      <c r="AG62" s="566"/>
      <c r="AH62" s="566"/>
      <c r="AI62" s="566"/>
      <c r="AJ62" s="566"/>
      <c r="AK62" s="566"/>
      <c r="AL62" s="566"/>
      <c r="AM62" s="566"/>
      <c r="AN62" s="298" t="str">
        <f>FHD_NOTE_P_26</f>
        <v>Указывается общая сумма общехозяйственных расходов.</v>
      </c>
      <c r="AO62" s="1645" t="str">
        <f>IF((LEN(E62)-LEN(SUBSTITUTE(E62,".","")))/LEN(".")=1,"p","")</f>
        <v>p</v>
      </c>
      <c r="AP62" s="1645"/>
      <c r="AQ62" s="1645"/>
      <c r="AV62" s="1645"/>
      <c r="AY62" s="553"/>
      <c r="BE62" s="1641"/>
      <c r="BF62" s="1641"/>
      <c r="BG62" s="1641"/>
      <c r="BH62" s="1641"/>
      <c r="BI62" s="1641"/>
      <c r="BJ62" s="1169">
        <v>11</v>
      </c>
    </row>
    <row s="1375" customFormat="1" customHeight="1" ht="11.549999999999999">
      <c r="A63" s="996"/>
      <c r="C63" s="1645"/>
      <c r="D63" s="1647"/>
      <c r="E63" s="555" t="str">
        <f>FHD_NUM_P_27</f>
        <v>2.11.1</v>
      </c>
      <c r="F63" s="1659" t="str">
        <f>FHD_P_27</f>
        <v>Расходы на текущий ремонт</v>
      </c>
      <c r="G63" s="1887" t="s">
        <v>625</v>
      </c>
      <c r="H63" s="566"/>
      <c r="I63" s="566"/>
      <c r="J63" s="566"/>
      <c r="K63" s="566"/>
      <c r="L63" s="566"/>
      <c r="M63" s="566"/>
      <c r="N63" s="566"/>
      <c r="O63" s="566"/>
      <c r="P63" s="566"/>
      <c r="Q63" s="566"/>
      <c r="R63" s="566"/>
      <c r="S63" s="566"/>
      <c r="T63" s="566"/>
      <c r="U63" s="566"/>
      <c r="V63" s="566"/>
      <c r="W63" s="566"/>
      <c r="X63" s="566"/>
      <c r="Y63" s="566"/>
      <c r="Z63" s="566"/>
      <c r="AA63" s="566"/>
      <c r="AB63" s="566"/>
      <c r="AC63" s="566"/>
      <c r="AD63" s="566"/>
      <c r="AE63" s="566"/>
      <c r="AF63" s="566"/>
      <c r="AG63" s="566"/>
      <c r="AH63" s="566"/>
      <c r="AI63" s="566"/>
      <c r="AJ63" s="566"/>
      <c r="AK63" s="566"/>
      <c r="AL63" s="566"/>
      <c r="AM63" s="566"/>
      <c r="AN63" s="298" t="str">
        <f>FHD_NOTE_P_27</f>
        <v>Указываются расходы на текущий ремонт, отнесенные к общехозяйственным расходам.</v>
      </c>
      <c r="AO63" s="1645" t="str">
        <f>IF((LEN(E63)-LEN(SUBSTITUTE(E63,".","")))/LEN(".")=1,"p","")</f>
        <v/>
      </c>
      <c r="AP63" s="1645"/>
      <c r="AQ63" s="1645"/>
      <c r="AV63" s="1645"/>
      <c r="AY63" s="553"/>
      <c r="BE63" s="1641"/>
      <c r="BF63" s="1641"/>
      <c r="BG63" s="1641"/>
      <c r="BH63" s="1641"/>
      <c r="BI63" s="1641"/>
      <c r="BJ63" s="1169">
        <v>11</v>
      </c>
    </row>
    <row s="1375" customFormat="1" customHeight="1" ht="11.549999999999999">
      <c r="A64" s="996"/>
      <c r="C64" s="1645"/>
      <c r="D64" s="1647"/>
      <c r="E64" s="555" t="str">
        <f>FHD_NUM_P_28</f>
        <v>2.11.2</v>
      </c>
      <c r="F64" s="1659" t="str">
        <f>FHD_P_28</f>
        <v>Расходы на капитальный ремонт</v>
      </c>
      <c r="G64" s="1887" t="s">
        <v>625</v>
      </c>
      <c r="H64" s="566"/>
      <c r="I64" s="566"/>
      <c r="J64" s="566"/>
      <c r="K64" s="566"/>
      <c r="L64" s="566"/>
      <c r="M64" s="566"/>
      <c r="N64" s="566"/>
      <c r="O64" s="566"/>
      <c r="P64" s="566"/>
      <c r="Q64" s="566"/>
      <c r="R64" s="566"/>
      <c r="S64" s="566"/>
      <c r="T64" s="566"/>
      <c r="U64" s="566"/>
      <c r="V64" s="566"/>
      <c r="W64" s="566"/>
      <c r="X64" s="566"/>
      <c r="Y64" s="566"/>
      <c r="Z64" s="566"/>
      <c r="AA64" s="566"/>
      <c r="AB64" s="566"/>
      <c r="AC64" s="566"/>
      <c r="AD64" s="566"/>
      <c r="AE64" s="566"/>
      <c r="AF64" s="566"/>
      <c r="AG64" s="566"/>
      <c r="AH64" s="566"/>
      <c r="AI64" s="566"/>
      <c r="AJ64" s="566"/>
      <c r="AK64" s="566"/>
      <c r="AL64" s="566"/>
      <c r="AM64" s="566"/>
      <c r="AN64" s="298" t="str">
        <f>FHD_NOTE_P_28</f>
        <v>Указываются расходы на капитальный ремонт, отнесенные к общехозяйственным расходам.</v>
      </c>
      <c r="AO64" s="1645" t="str">
        <f>IF((LEN(E64)-LEN(SUBSTITUTE(E64,".","")))/LEN(".")=1,"p","")</f>
        <v/>
      </c>
      <c r="AP64" s="1645"/>
      <c r="AQ64" s="1645"/>
      <c r="AV64" s="1645"/>
      <c r="AY64" s="553"/>
      <c r="BE64" s="1641"/>
      <c r="BF64" s="1641"/>
      <c r="BG64" s="1641"/>
      <c r="BH64" s="1641"/>
      <c r="BI64" s="1641"/>
      <c r="BJ64" s="1169">
        <v>11</v>
      </c>
    </row>
    <row s="1375" customFormat="1" customHeight="1" ht="11.549999999999999">
      <c r="A65" s="996"/>
      <c r="C65" s="1645"/>
      <c r="D65" s="1647"/>
      <c r="E65" s="555" t="str">
        <f>FHD_NUM_P_29</f>
        <v>2.12</v>
      </c>
      <c r="F65" s="1533" t="str">
        <f>FHD_P_29</f>
        <v>Расходы на капитальный и текущий ремонт основных средств</v>
      </c>
      <c r="G65" s="1887" t="s">
        <v>625</v>
      </c>
      <c r="H65" s="566"/>
      <c r="I65" s="566"/>
      <c r="J65" s="566"/>
      <c r="K65" s="566"/>
      <c r="L65" s="566"/>
      <c r="M65" s="566"/>
      <c r="N65" s="566"/>
      <c r="O65" s="566"/>
      <c r="P65" s="566"/>
      <c r="Q65" s="566"/>
      <c r="R65" s="566"/>
      <c r="S65" s="566"/>
      <c r="T65" s="566"/>
      <c r="U65" s="566"/>
      <c r="V65" s="566"/>
      <c r="W65" s="566"/>
      <c r="X65" s="566"/>
      <c r="Y65" s="566"/>
      <c r="Z65" s="566"/>
      <c r="AA65" s="566"/>
      <c r="AB65" s="566"/>
      <c r="AC65" s="566"/>
      <c r="AD65" s="566"/>
      <c r="AE65" s="566"/>
      <c r="AF65" s="566"/>
      <c r="AG65" s="566"/>
      <c r="AH65" s="566"/>
      <c r="AI65" s="566"/>
      <c r="AJ65" s="566"/>
      <c r="AK65" s="566"/>
      <c r="AL65" s="566"/>
      <c r="AM65" s="566"/>
      <c r="AN65" s="29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AO65" s="1645" t="str">
        <f>IF((LEN(E65)-LEN(SUBSTITUTE(E65,".","")))/LEN(".")=1,"p","")</f>
        <v>p</v>
      </c>
      <c r="AP65" s="1645"/>
      <c r="AQ65" s="1645"/>
      <c r="AV65" s="1645"/>
      <c r="AY65" s="553"/>
      <c r="BE65" s="1641"/>
      <c r="BF65" s="1641"/>
      <c r="BG65" s="1641"/>
      <c r="BH65" s="1641"/>
      <c r="BI65" s="1641"/>
      <c r="BJ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379</v>
      </c>
      <c r="H66" s="1658" t="s">
        <v>648</v>
      </c>
      <c r="I66" s="1658" t="s">
        <v>648</v>
      </c>
      <c r="J66" s="2494" t="s">
        <v>648</v>
      </c>
      <c r="K66" s="2494" t="s">
        <v>648</v>
      </c>
      <c r="L66" s="2494" t="s">
        <v>648</v>
      </c>
      <c r="M66" s="2494" t="s">
        <v>648</v>
      </c>
      <c r="N66" s="2494" t="s">
        <v>648</v>
      </c>
      <c r="O66" s="2494" t="s">
        <v>648</v>
      </c>
      <c r="P66" s="2494" t="s">
        <v>648</v>
      </c>
      <c r="Q66" s="2494" t="s">
        <v>648</v>
      </c>
      <c r="R66" s="2494" t="s">
        <v>648</v>
      </c>
      <c r="S66" s="2494" t="s">
        <v>648</v>
      </c>
      <c r="T66" s="2494" t="s">
        <v>648</v>
      </c>
      <c r="U66" s="2494" t="s">
        <v>648</v>
      </c>
      <c r="V66" s="2494" t="s">
        <v>648</v>
      </c>
      <c r="W66" s="2494" t="s">
        <v>648</v>
      </c>
      <c r="X66" s="2494" t="s">
        <v>648</v>
      </c>
      <c r="Y66" s="2494" t="s">
        <v>648</v>
      </c>
      <c r="Z66" s="2494" t="s">
        <v>648</v>
      </c>
      <c r="AA66" s="2494" t="s">
        <v>648</v>
      </c>
      <c r="AB66" s="2494" t="s">
        <v>648</v>
      </c>
      <c r="AC66" s="2494" t="s">
        <v>648</v>
      </c>
      <c r="AD66" s="2494" t="s">
        <v>648</v>
      </c>
      <c r="AE66" s="2494" t="s">
        <v>648</v>
      </c>
      <c r="AF66" s="2494" t="s">
        <v>648</v>
      </c>
      <c r="AG66" s="2494" t="s">
        <v>648</v>
      </c>
      <c r="AH66" s="2494" t="s">
        <v>648</v>
      </c>
      <c r="AI66" s="2494" t="s">
        <v>648</v>
      </c>
      <c r="AJ66" s="2494" t="s">
        <v>648</v>
      </c>
      <c r="AK66" s="2494" t="s">
        <v>648</v>
      </c>
      <c r="AL66" s="2494" t="s">
        <v>648</v>
      </c>
      <c r="AM66" s="2494" t="s">
        <v>648</v>
      </c>
      <c r="AN66" s="298" t="str">
        <f>FHD_NOTE_P_30</f>
        <v/>
      </c>
      <c r="AO66" s="1645" t="str">
        <f>IF((LEN(E66)-LEN(SUBSTITUTE(E66,".","")))/LEN(".")=1,"p","")</f>
        <v/>
      </c>
      <c r="AP66" s="1645">
        <f>_xlfn.IFERROR(MATCH("есть",B_FHD_FLAG_INDEX_1,0),0)</f>
        <v>0</v>
      </c>
      <c r="AQ66" s="1645"/>
      <c r="AV66" s="1645"/>
      <c r="AY66" s="553"/>
      <c r="BE66" s="1641"/>
      <c r="BF66" s="1641"/>
      <c r="BG66" s="1641"/>
      <c r="BH66" s="1641"/>
      <c r="BI66" s="1641"/>
      <c r="BJ66" s="1169">
        <v>11</v>
      </c>
    </row>
    <row s="1375" customFormat="1" customHeight="1" ht="23.25" hidden="1">
      <c r="A67" s="2380" t="s">
        <v>649</v>
      </c>
      <c r="C67" s="1645"/>
      <c r="D67" s="1647"/>
      <c r="E67" s="555" t="str">
        <f>FHD_NUM_P_31</f>
        <v/>
      </c>
      <c r="F67" s="1533" t="str">
        <f>FHD_P_31</f>
        <v/>
      </c>
      <c r="G67" s="1887" t="s">
        <v>625</v>
      </c>
      <c r="H67" s="566"/>
      <c r="I67" s="566"/>
      <c r="J67" s="566"/>
      <c r="K67" s="566"/>
      <c r="L67" s="566"/>
      <c r="M67" s="566"/>
      <c r="N67" s="566"/>
      <c r="O67" s="566"/>
      <c r="P67" s="566"/>
      <c r="Q67" s="566"/>
      <c r="R67" s="566"/>
      <c r="S67" s="566"/>
      <c r="T67" s="566"/>
      <c r="U67" s="566"/>
      <c r="V67" s="566"/>
      <c r="W67" s="566"/>
      <c r="X67" s="566"/>
      <c r="Y67" s="566"/>
      <c r="Z67" s="566"/>
      <c r="AA67" s="566"/>
      <c r="AB67" s="566"/>
      <c r="AC67" s="566"/>
      <c r="AD67" s="566"/>
      <c r="AE67" s="566"/>
      <c r="AF67" s="566"/>
      <c r="AG67" s="566"/>
      <c r="AH67" s="566"/>
      <c r="AI67" s="566"/>
      <c r="AJ67" s="566"/>
      <c r="AK67" s="566"/>
      <c r="AL67" s="566"/>
      <c r="AM67" s="566"/>
      <c r="AN67" s="298" t="str">
        <f>FHD_NOTE_P_31</f>
        <v/>
      </c>
      <c r="AO67" s="1645" t="str">
        <f>IF((LEN(E67)-LEN(SUBSTITUTE(E67,".","")))/LEN(".")=1,"p","")</f>
        <v/>
      </c>
      <c r="AP67" s="1645"/>
      <c r="AQ67" s="1645"/>
      <c r="AV67" s="1645"/>
      <c r="AY67" s="553"/>
      <c r="BE67" s="1641"/>
      <c r="BF67" s="1641"/>
      <c r="BG67" s="1641"/>
      <c r="BH67" s="1641"/>
      <c r="BI67" s="1641"/>
      <c r="BJ67" s="1169">
        <v>22</v>
      </c>
    </row>
    <row s="1375" customFormat="1" customHeight="1" ht="47.25" hidden="1">
      <c r="A68" s="2380"/>
      <c r="C68" s="1645"/>
      <c r="D68" s="1647"/>
      <c r="E68" s="555" t="str">
        <f>FHD_NUM_P_32</f>
        <v/>
      </c>
      <c r="F68" s="1659" t="str">
        <f>FHD_P_32</f>
        <v/>
      </c>
      <c r="G68" s="1887" t="s">
        <v>379</v>
      </c>
      <c r="H68" s="1658" t="s">
        <v>648</v>
      </c>
      <c r="I68" s="1658" t="s">
        <v>648</v>
      </c>
      <c r="J68" s="2494" t="s">
        <v>648</v>
      </c>
      <c r="K68" s="2494" t="s">
        <v>648</v>
      </c>
      <c r="L68" s="2494" t="s">
        <v>648</v>
      </c>
      <c r="M68" s="2494" t="s">
        <v>648</v>
      </c>
      <c r="N68" s="2494" t="s">
        <v>648</v>
      </c>
      <c r="O68" s="2494" t="s">
        <v>648</v>
      </c>
      <c r="P68" s="2494" t="s">
        <v>648</v>
      </c>
      <c r="Q68" s="2494" t="s">
        <v>648</v>
      </c>
      <c r="R68" s="2494" t="s">
        <v>648</v>
      </c>
      <c r="S68" s="2494" t="s">
        <v>648</v>
      </c>
      <c r="T68" s="2494" t="s">
        <v>648</v>
      </c>
      <c r="U68" s="2494" t="s">
        <v>648</v>
      </c>
      <c r="V68" s="2494" t="s">
        <v>648</v>
      </c>
      <c r="W68" s="2494" t="s">
        <v>648</v>
      </c>
      <c r="X68" s="2494" t="s">
        <v>648</v>
      </c>
      <c r="Y68" s="2494" t="s">
        <v>648</v>
      </c>
      <c r="Z68" s="2494" t="s">
        <v>648</v>
      </c>
      <c r="AA68" s="2494" t="s">
        <v>648</v>
      </c>
      <c r="AB68" s="2494" t="s">
        <v>648</v>
      </c>
      <c r="AC68" s="2494" t="s">
        <v>648</v>
      </c>
      <c r="AD68" s="2494" t="s">
        <v>648</v>
      </c>
      <c r="AE68" s="2494" t="s">
        <v>648</v>
      </c>
      <c r="AF68" s="2494" t="s">
        <v>648</v>
      </c>
      <c r="AG68" s="2494" t="s">
        <v>648</v>
      </c>
      <c r="AH68" s="2494" t="s">
        <v>648</v>
      </c>
      <c r="AI68" s="2494" t="s">
        <v>648</v>
      </c>
      <c r="AJ68" s="2494" t="s">
        <v>648</v>
      </c>
      <c r="AK68" s="2494" t="s">
        <v>648</v>
      </c>
      <c r="AL68" s="2494" t="s">
        <v>648</v>
      </c>
      <c r="AM68" s="2494" t="s">
        <v>648</v>
      </c>
      <c r="AN68" s="298" t="str">
        <f>FHD_NOTE_P_32</f>
        <v/>
      </c>
      <c r="AO68" s="1645" t="str">
        <f>IF((LEN(E68)-LEN(SUBSTITUTE(E68,".","")))/LEN(".")=1,"p","")</f>
        <v/>
      </c>
      <c r="AP68" s="1645">
        <f>_xlfn.IFERROR(MATCH("есть",B_FHD_FLAG_INDEX_2,0),0)</f>
        <v>0</v>
      </c>
      <c r="AQ68" s="1645"/>
      <c r="AV68" s="1645"/>
      <c r="AY68" s="553"/>
      <c r="BE68" s="1641"/>
      <c r="BF68" s="1641"/>
      <c r="BG68" s="1641"/>
      <c r="BH68" s="1641"/>
      <c r="BI68" s="1641"/>
      <c r="BJ68" s="1169">
        <v>45</v>
      </c>
    </row>
    <row s="1375" customFormat="1" customHeight="1" ht="11.549999999999999">
      <c r="A69" s="996"/>
      <c r="C69" s="1645"/>
      <c r="D69" s="1647"/>
      <c r="E69" s="555" t="str">
        <f>FHD_NUM_P_33</f>
        <v>2.13</v>
      </c>
      <c r="F69" s="153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8" t="s">
        <v>625</v>
      </c>
      <c r="H69" s="588">
        <f>SUM(H70:H71)</f>
        <v>0</v>
      </c>
      <c r="I69" s="588">
        <f>SUM(I70:I71)</f>
        <v>0</v>
      </c>
      <c r="J69" s="588">
        <f>SUM(J70:J71)</f>
        <v>0</v>
      </c>
      <c r="K69" s="588">
        <f>SUM(K70:K71)</f>
        <v>0</v>
      </c>
      <c r="L69" s="588">
        <f>SUM(L70:L71)</f>
        <v>0</v>
      </c>
      <c r="M69" s="588">
        <f>SUM(M70:M71)</f>
        <v>0</v>
      </c>
      <c r="N69" s="588">
        <f>SUM(N70:N71)</f>
        <v>0</v>
      </c>
      <c r="O69" s="588">
        <f>SUM(O70:O71)</f>
        <v>0</v>
      </c>
      <c r="P69" s="588">
        <f>SUM(P70:P71)</f>
        <v>0</v>
      </c>
      <c r="Q69" s="588">
        <f>SUM(Q70:Q71)</f>
        <v>0</v>
      </c>
      <c r="R69" s="588">
        <f>SUM(R70:R71)</f>
        <v>0</v>
      </c>
      <c r="S69" s="588">
        <f>SUM(S70:S71)</f>
        <v>0</v>
      </c>
      <c r="T69" s="588">
        <f>SUM(T70:T71)</f>
        <v>0</v>
      </c>
      <c r="U69" s="588">
        <f>SUM(U70:U71)</f>
        <v>0</v>
      </c>
      <c r="V69" s="588">
        <f>SUM(V70:V71)</f>
        <v>0</v>
      </c>
      <c r="W69" s="588">
        <f>SUM(W70:W71)</f>
        <v>0</v>
      </c>
      <c r="X69" s="588">
        <f>SUM(X70:X71)</f>
        <v>0</v>
      </c>
      <c r="Y69" s="588">
        <f>SUM(Y70:Y71)</f>
        <v>0</v>
      </c>
      <c r="Z69" s="588">
        <f>SUM(Z70:Z71)</f>
        <v>0</v>
      </c>
      <c r="AA69" s="588">
        <f>SUM(AA70:AA71)</f>
        <v>0</v>
      </c>
      <c r="AB69" s="588">
        <f>SUM(AB70:AB71)</f>
        <v>0</v>
      </c>
      <c r="AC69" s="588">
        <f>SUM(AC70:AC71)</f>
        <v>0</v>
      </c>
      <c r="AD69" s="588">
        <f>SUM(AD70:AD71)</f>
        <v>0</v>
      </c>
      <c r="AE69" s="588">
        <f>SUM(AE70:AE71)</f>
        <v>0</v>
      </c>
      <c r="AF69" s="588">
        <f>SUM(AF70:AF71)</f>
        <v>0</v>
      </c>
      <c r="AG69" s="588">
        <f>SUM(AG70:AG71)</f>
        <v>0</v>
      </c>
      <c r="AH69" s="588">
        <f>SUM(AH70:AH71)</f>
        <v>0</v>
      </c>
      <c r="AI69" s="588">
        <f>SUM(AI70:AI71)</f>
        <v>0</v>
      </c>
      <c r="AJ69" s="588">
        <f>SUM(AJ70:AJ71)</f>
        <v>0</v>
      </c>
      <c r="AK69" s="588">
        <f>SUM(AK70:AK71)</f>
        <v>0</v>
      </c>
      <c r="AL69" s="588">
        <f>SUM(AL70:AL71)</f>
        <v>0</v>
      </c>
      <c r="AM69" s="588">
        <f>SUM(AM70:AM71)</f>
        <v>0</v>
      </c>
      <c r="AN69" s="29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AO69" s="1645" t="str">
        <f>IF((LEN(E69)-LEN(SUBSTITUTE(E69,".","")))/LEN(".")=1,"p","")</f>
        <v>p</v>
      </c>
      <c r="AP69" s="1645"/>
      <c r="AQ69" s="1645"/>
      <c r="AV69" s="1645"/>
      <c r="AY69" s="553"/>
      <c r="BE69" s="1641"/>
      <c r="BF69" s="1641"/>
      <c r="BG69" s="1641"/>
      <c r="BH69" s="1641"/>
      <c r="BI69" s="1641"/>
      <c r="BJ69" s="1169">
        <v>11</v>
      </c>
    </row>
    <row s="1651" customFormat="1" customHeight="1" ht="1.05">
      <c r="A70" s="1176"/>
      <c r="D70" s="557"/>
      <c r="E70" s="1022" t="str">
        <f>E69&amp;".0"</f>
        <v>2.13.0</v>
      </c>
      <c r="F70" s="1000"/>
      <c r="G70" s="1022"/>
      <c r="H70" s="1001"/>
      <c r="I70" s="1001"/>
      <c r="J70" s="1001"/>
      <c r="K70" s="1001"/>
      <c r="L70" s="1001"/>
      <c r="M70" s="1001"/>
      <c r="N70" s="1001"/>
      <c r="O70" s="1001"/>
      <c r="P70" s="1001"/>
      <c r="Q70" s="1001"/>
      <c r="R70" s="1001"/>
      <c r="S70" s="1001"/>
      <c r="T70" s="1001"/>
      <c r="U70" s="1001"/>
      <c r="V70" s="1001"/>
      <c r="W70" s="1001"/>
      <c r="X70" s="1001"/>
      <c r="Y70" s="1001"/>
      <c r="Z70" s="1001"/>
      <c r="AA70" s="1001"/>
      <c r="AB70" s="1001"/>
      <c r="AC70" s="1001"/>
      <c r="AD70" s="1001"/>
      <c r="AE70" s="1001"/>
      <c r="AF70" s="1001"/>
      <c r="AG70" s="1001"/>
      <c r="AH70" s="1001"/>
      <c r="AI70" s="1001"/>
      <c r="AJ70" s="1001"/>
      <c r="AK70" s="1001"/>
      <c r="AL70" s="1001"/>
      <c r="AM70" s="1001"/>
      <c r="AN70" s="1002"/>
      <c r="AO70" s="1645" t="str">
        <f>IF((LEN(E70)-LEN(SUBSTITUTE(E70,".","")))/LEN(".")=1,"p","")</f>
        <v/>
      </c>
      <c r="BJ70" s="1645">
        <v>1</v>
      </c>
    </row>
    <row s="1375" customFormat="1" customHeight="1" ht="14.699999999999998">
      <c r="A71" s="996"/>
      <c r="C71" s="1645"/>
      <c r="D71" s="1642"/>
      <c r="E71" s="579"/>
      <c r="F71" s="580" t="s">
        <v>650</v>
      </c>
      <c r="G71" s="581"/>
      <c r="H71" s="582"/>
      <c r="I71" s="582"/>
      <c r="J71" s="2668"/>
      <c r="K71" s="2669"/>
      <c r="L71" s="2670"/>
      <c r="M71" s="2671"/>
      <c r="N71" s="2672"/>
      <c r="O71" s="2673"/>
      <c r="P71" s="2674"/>
      <c r="Q71" s="2675"/>
      <c r="R71" s="2676"/>
      <c r="S71" s="2677"/>
      <c r="T71" s="2678"/>
      <c r="U71" s="2679"/>
      <c r="V71" s="2680"/>
      <c r="W71" s="2681"/>
      <c r="X71" s="2682"/>
      <c r="Y71" s="2683"/>
      <c r="Z71" s="2684"/>
      <c r="AA71" s="2685"/>
      <c r="AB71" s="2686"/>
      <c r="AC71" s="2687"/>
      <c r="AD71" s="2688"/>
      <c r="AE71" s="2689"/>
      <c r="AF71" s="2690"/>
      <c r="AG71" s="2691"/>
      <c r="AH71" s="2692"/>
      <c r="AI71" s="2693"/>
      <c r="AJ71" s="2694"/>
      <c r="AK71" s="3136"/>
      <c r="AL71" s="3137"/>
      <c r="AM71" s="3138"/>
      <c r="AN71" s="310"/>
      <c r="AO71" s="1645"/>
      <c r="AP71" s="1645"/>
      <c r="AQ71" s="1645"/>
      <c r="AV71" s="1645"/>
      <c r="AY71" s="553"/>
      <c r="BE71" s="1641"/>
      <c r="BF71" s="1641"/>
      <c r="BG71" s="1641"/>
      <c r="BH71" s="1641"/>
      <c r="BI71" s="1641"/>
      <c r="BJ71" s="1169">
        <v>14</v>
      </c>
    </row>
    <row s="1375" customFormat="1" customHeight="1" ht="18.75">
      <c r="A72" s="998" t="s">
        <v>651</v>
      </c>
      <c r="C72" s="1645"/>
      <c r="D72" s="1647"/>
      <c r="E72" s="555" t="str">
        <f>FHD_NUM_P_34</f>
        <v>3</v>
      </c>
      <c r="F72" s="1889" t="str">
        <f>FHD_P_34</f>
        <v>Валовая прибыль (убытки) от реализации товаров и оказания услуг по регулируемому виду деятельности</v>
      </c>
      <c r="G72" s="1887" t="s">
        <v>625</v>
      </c>
      <c r="H72" s="566"/>
      <c r="I72" s="566"/>
      <c r="J72" s="566"/>
      <c r="K72" s="566"/>
      <c r="L72" s="566"/>
      <c r="M72" s="566"/>
      <c r="N72" s="566"/>
      <c r="O72" s="566"/>
      <c r="P72" s="566"/>
      <c r="Q72" s="566"/>
      <c r="R72" s="566"/>
      <c r="S72" s="566"/>
      <c r="T72" s="566"/>
      <c r="U72" s="566"/>
      <c r="V72" s="566"/>
      <c r="W72" s="566"/>
      <c r="X72" s="566"/>
      <c r="Y72" s="566"/>
      <c r="Z72" s="566"/>
      <c r="AA72" s="566"/>
      <c r="AB72" s="566"/>
      <c r="AC72" s="566"/>
      <c r="AD72" s="566"/>
      <c r="AE72" s="566"/>
      <c r="AF72" s="566"/>
      <c r="AG72" s="566"/>
      <c r="AH72" s="566"/>
      <c r="AI72" s="566"/>
      <c r="AJ72" s="566"/>
      <c r="AK72" s="566"/>
      <c r="AL72" s="566"/>
      <c r="AM72" s="566"/>
      <c r="AN72" s="298" t="str">
        <f>FHD_NOTE_P_34</f>
        <v/>
      </c>
      <c r="AO72" s="552"/>
      <c r="AP72" s="1645"/>
      <c r="AQ72" s="1645"/>
      <c r="AV72" s="1645"/>
      <c r="AY72" s="553"/>
      <c r="BE72" s="1641"/>
      <c r="BF72" s="1641"/>
      <c r="BG72" s="1641"/>
      <c r="BH72" s="1641"/>
      <c r="BI72" s="1641"/>
      <c r="BJ72" s="1169">
        <v>0</v>
      </c>
    </row>
    <row s="1375" customFormat="1" customHeight="1" ht="19.95">
      <c r="A73" s="996"/>
      <c r="C73" s="1645"/>
      <c r="D73" s="584"/>
      <c r="E73" s="555" t="str">
        <f>FHD_NUM_P_35</f>
        <v>4</v>
      </c>
      <c r="F73" s="1889" t="str">
        <f>FHD_P_35</f>
        <v>Чистая прибыль, полученная от регулируемого вида деятельности, в том числе:</v>
      </c>
      <c r="G73" s="1887" t="s">
        <v>625</v>
      </c>
      <c r="H73" s="566"/>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298" t="str">
        <f>FHD_NOTE_P_35</f>
        <v>Указывается общая сумма чистой прибыли, полученной от регулируемого вида деятельности.</v>
      </c>
      <c r="AO73" s="552"/>
      <c r="AP73" s="1645"/>
      <c r="AQ73" s="1645"/>
      <c r="AV73" s="1645"/>
      <c r="AY73" s="553"/>
      <c r="BE73" s="1641"/>
      <c r="BF73" s="1641"/>
      <c r="BG73" s="1641"/>
      <c r="BH73" s="1641"/>
      <c r="BI73" s="1641"/>
      <c r="BJ73" s="1169">
        <v>19</v>
      </c>
    </row>
    <row s="1375" customFormat="1" customHeight="1" ht="19.95">
      <c r="A74" s="996"/>
      <c r="C74" s="1645"/>
      <c r="D74" s="1647"/>
      <c r="E74" s="555" t="str">
        <f>FHD_NUM_P_36</f>
        <v>4.1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625</v>
      </c>
      <c r="H74" s="566"/>
      <c r="I74" s="566"/>
      <c r="J74" s="566"/>
      <c r="K74" s="566"/>
      <c r="L74" s="566"/>
      <c r="M74" s="566"/>
      <c r="N74" s="566"/>
      <c r="O74" s="566"/>
      <c r="P74" s="566"/>
      <c r="Q74" s="566"/>
      <c r="R74" s="566"/>
      <c r="S74" s="566"/>
      <c r="T74" s="566"/>
      <c r="U74" s="566"/>
      <c r="V74" s="566"/>
      <c r="W74" s="566"/>
      <c r="X74" s="566"/>
      <c r="Y74" s="566"/>
      <c r="Z74" s="566"/>
      <c r="AA74" s="566"/>
      <c r="AB74" s="566"/>
      <c r="AC74" s="566"/>
      <c r="AD74" s="566"/>
      <c r="AE74" s="566"/>
      <c r="AF74" s="566"/>
      <c r="AG74" s="566"/>
      <c r="AH74" s="566"/>
      <c r="AI74" s="566"/>
      <c r="AJ74" s="566"/>
      <c r="AK74" s="566"/>
      <c r="AL74" s="566"/>
      <c r="AM74" s="566"/>
      <c r="AN74" s="298" t="str">
        <f>FHD_NOTE_P_36</f>
        <v/>
      </c>
      <c r="AO74" s="552"/>
      <c r="AP74" s="1645"/>
      <c r="AQ74" s="1645"/>
      <c r="AV74" s="1645"/>
      <c r="AY74" s="553"/>
      <c r="BE74" s="1641"/>
      <c r="BF74" s="1641"/>
      <c r="BG74" s="1641"/>
      <c r="BH74" s="1641"/>
      <c r="BI74" s="1641"/>
      <c r="BJ74" s="1169">
        <v>19</v>
      </c>
    </row>
    <row s="1375" customFormat="1" customHeight="1" ht="19.95">
      <c r="A75" s="996"/>
      <c r="C75" s="1645"/>
      <c r="D75" s="1647"/>
      <c r="E75" s="555" t="str">
        <f>FHD_NUM_P_37</f>
        <v>5</v>
      </c>
      <c r="F75" s="1889" t="str">
        <f>FHD_P_37</f>
        <v>Изменение стоимости основных фондов, в том числе:</v>
      </c>
      <c r="G75" s="1887" t="s">
        <v>625</v>
      </c>
      <c r="H75" s="566"/>
      <c r="I75" s="566"/>
      <c r="J75" s="566"/>
      <c r="K75" s="566"/>
      <c r="L75" s="566"/>
      <c r="M75" s="566"/>
      <c r="N75" s="566"/>
      <c r="O75" s="566"/>
      <c r="P75" s="566"/>
      <c r="Q75" s="566"/>
      <c r="R75" s="566"/>
      <c r="S75" s="566"/>
      <c r="T75" s="566"/>
      <c r="U75" s="566"/>
      <c r="V75" s="566"/>
      <c r="W75" s="566"/>
      <c r="X75" s="566"/>
      <c r="Y75" s="566"/>
      <c r="Z75" s="566"/>
      <c r="AA75" s="566"/>
      <c r="AB75" s="566"/>
      <c r="AC75" s="566"/>
      <c r="AD75" s="566"/>
      <c r="AE75" s="566"/>
      <c r="AF75" s="566"/>
      <c r="AG75" s="566"/>
      <c r="AH75" s="566"/>
      <c r="AI75" s="566"/>
      <c r="AJ75" s="566"/>
      <c r="AK75" s="566"/>
      <c r="AL75" s="566"/>
      <c r="AM75" s="566"/>
      <c r="AN75" s="298" t="str">
        <f>FHD_NOTE_P_37</f>
        <v>Указывается общее изменение стоимости основных фондов.</v>
      </c>
      <c r="AO75" s="552"/>
      <c r="AP75" s="1645"/>
      <c r="AQ75" s="1645"/>
      <c r="AV75" s="1645"/>
      <c r="AY75" s="553"/>
      <c r="BE75" s="1641"/>
      <c r="BF75" s="1641"/>
      <c r="BG75" s="1641"/>
      <c r="BH75" s="1641"/>
      <c r="BI75" s="1641"/>
      <c r="BJ75" s="1169">
        <v>19</v>
      </c>
    </row>
    <row s="1375" customFormat="1" customHeight="1" ht="19.95">
      <c r="A76" s="996"/>
      <c r="C76" s="1645"/>
      <c r="D76" s="1647"/>
      <c r="E76" s="555" t="str">
        <f>FHD_NUM_P_38</f>
        <v>5.1</v>
      </c>
      <c r="F76" s="1533" t="str">
        <f>FHD_P_38</f>
        <v>Изменение стоимости основных фондов за счет:</v>
      </c>
      <c r="G76" s="1887" t="s">
        <v>625</v>
      </c>
      <c r="H76" s="566"/>
      <c r="I76" s="566"/>
      <c r="J76" s="566"/>
      <c r="K76" s="566"/>
      <c r="L76" s="566"/>
      <c r="M76" s="566"/>
      <c r="N76" s="566"/>
      <c r="O76" s="566"/>
      <c r="P76" s="566"/>
      <c r="Q76" s="566"/>
      <c r="R76" s="566"/>
      <c r="S76" s="566"/>
      <c r="T76" s="566"/>
      <c r="U76" s="566"/>
      <c r="V76" s="566"/>
      <c r="W76" s="566"/>
      <c r="X76" s="566"/>
      <c r="Y76" s="566"/>
      <c r="Z76" s="566"/>
      <c r="AA76" s="566"/>
      <c r="AB76" s="566"/>
      <c r="AC76" s="566"/>
      <c r="AD76" s="566"/>
      <c r="AE76" s="566"/>
      <c r="AF76" s="566"/>
      <c r="AG76" s="566"/>
      <c r="AH76" s="566"/>
      <c r="AI76" s="566"/>
      <c r="AJ76" s="566"/>
      <c r="AK76" s="566"/>
      <c r="AL76" s="566"/>
      <c r="AM76" s="566"/>
      <c r="AN76" s="298" t="str">
        <f>FHD_NOTE_P_38</f>
        <v>Указываются общее изменение стоимости основных фондов за счет их ввода в эксплуатацию и вывода из эксплуатации.</v>
      </c>
      <c r="AO76" s="552"/>
      <c r="AP76" s="1645"/>
      <c r="AQ76" s="1645"/>
      <c r="AV76" s="1645"/>
      <c r="AY76" s="553"/>
      <c r="BE76" s="1641"/>
      <c r="BF76" s="1641"/>
      <c r="BG76" s="1641"/>
      <c r="BH76" s="1641"/>
      <c r="BI76" s="1641"/>
      <c r="BJ76" s="1169">
        <v>19</v>
      </c>
    </row>
    <row s="1375" customFormat="1" customHeight="1" ht="19.95">
      <c r="A77" s="996"/>
      <c r="C77" s="1645"/>
      <c r="D77" s="1647"/>
      <c r="E77" s="555" t="str">
        <f>FHD_NUM_P_39</f>
        <v>5.1.1</v>
      </c>
      <c r="F77" s="1659" t="str">
        <f>FHD_P_39</f>
        <v>Изменения стоимости основных фондов за счет их ввода в эксплуатацию</v>
      </c>
      <c r="G77" s="2081" t="s">
        <v>625</v>
      </c>
      <c r="H77" s="566"/>
      <c r="I77" s="566"/>
      <c r="J77" s="566"/>
      <c r="K77" s="566"/>
      <c r="L77" s="566"/>
      <c r="M77" s="566"/>
      <c r="N77" s="566"/>
      <c r="O77" s="566"/>
      <c r="P77" s="566"/>
      <c r="Q77" s="566"/>
      <c r="R77" s="566"/>
      <c r="S77" s="566"/>
      <c r="T77" s="566"/>
      <c r="U77" s="566"/>
      <c r="V77" s="566"/>
      <c r="W77" s="566"/>
      <c r="X77" s="566"/>
      <c r="Y77" s="566"/>
      <c r="Z77" s="566"/>
      <c r="AA77" s="566"/>
      <c r="AB77" s="566"/>
      <c r="AC77" s="566"/>
      <c r="AD77" s="566"/>
      <c r="AE77" s="566"/>
      <c r="AF77" s="566"/>
      <c r="AG77" s="566"/>
      <c r="AH77" s="566"/>
      <c r="AI77" s="566"/>
      <c r="AJ77" s="566"/>
      <c r="AK77" s="566"/>
      <c r="AL77" s="566"/>
      <c r="AM77" s="566"/>
      <c r="AN77" s="298" t="str">
        <f>FHD_NOTE_P_39</f>
        <v>Указываются изменение стоимости основных фондов за счет их ввода в эксплуатацию.</v>
      </c>
      <c r="AO77" s="552"/>
      <c r="AP77" s="1645"/>
      <c r="AQ77" s="1645"/>
      <c r="AV77" s="1645"/>
      <c r="AY77" s="553"/>
      <c r="BE77" s="1641"/>
      <c r="BF77" s="1641"/>
      <c r="BG77" s="1641"/>
      <c r="BH77" s="1641"/>
      <c r="BI77" s="1641"/>
      <c r="BJ77" s="1169">
        <v>19</v>
      </c>
    </row>
    <row s="1375" customFormat="1" customHeight="1" ht="19.95">
      <c r="A78" s="996"/>
      <c r="C78" s="1645"/>
      <c r="D78" s="1647"/>
      <c r="E78" s="555" t="str">
        <f>FHD_NUM_P_40</f>
        <v>5.1.2</v>
      </c>
      <c r="F78" s="2085" t="str">
        <f>FHD_P_40</f>
        <v>Изменения стоимости основных фондов за счет их вывода в эксплуатацию</v>
      </c>
      <c r="G78" s="2080" t="s">
        <v>625</v>
      </c>
      <c r="H78" s="985"/>
      <c r="I78" s="566"/>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298" t="str">
        <f>FHD_NOTE_P_40</f>
        <v>Указываются изменение стоимости основных фондов за счет их вывода из эксплуатации.</v>
      </c>
      <c r="AO78" s="552"/>
      <c r="AP78" s="1645"/>
      <c r="AQ78" s="1645"/>
      <c r="AV78" s="1645"/>
      <c r="AY78" s="553"/>
      <c r="BE78" s="1641"/>
      <c r="BF78" s="1641"/>
      <c r="BG78" s="1641"/>
      <c r="BH78" s="1641"/>
      <c r="BI78" s="1641"/>
      <c r="BJ78" s="1169">
        <v>19</v>
      </c>
    </row>
    <row s="1375" customFormat="1" customHeight="1" ht="19.95">
      <c r="A79" s="996"/>
      <c r="C79" s="1645"/>
      <c r="D79" s="1647"/>
      <c r="E79" s="555" t="str">
        <f>FHD_NUM_P_41</f>
        <v>5.2</v>
      </c>
      <c r="F79" s="2084" t="str">
        <f>FHD_P_41</f>
        <v>Изменение стоимости основных фондов за счет их переоценки</v>
      </c>
      <c r="G79" s="2080" t="s">
        <v>625</v>
      </c>
      <c r="H79" s="985"/>
      <c r="I79" s="566"/>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298" t="str">
        <f>FHD_NOTE_P_41</f>
        <v/>
      </c>
      <c r="AO79" s="552"/>
      <c r="AP79" s="1645"/>
      <c r="AQ79" s="1645"/>
      <c r="AV79" s="1645"/>
      <c r="AY79" s="553"/>
      <c r="BE79" s="1641"/>
      <c r="BF79" s="1641"/>
      <c r="BG79" s="1641"/>
      <c r="BH79" s="1641"/>
      <c r="BI79" s="1641"/>
      <c r="BJ79" s="1169">
        <v>19</v>
      </c>
    </row>
    <row s="1375" customFormat="1" customHeight="1" ht="20.25" hidden="1">
      <c r="A80" s="998" t="s">
        <v>652</v>
      </c>
      <c r="C80" s="1645"/>
      <c r="D80" s="1647"/>
      <c r="E80" s="555" t="str">
        <f>FHD_NUM_P_42</f>
        <v/>
      </c>
      <c r="F80" s="2082" t="str">
        <f>FHD_P_42</f>
        <v/>
      </c>
      <c r="G80" s="2080" t="s">
        <v>625</v>
      </c>
      <c r="H80" s="985"/>
      <c r="I80" s="566"/>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c r="AL80" s="985"/>
      <c r="AM80" s="985"/>
      <c r="AN80" s="298" t="str">
        <f>FHD_NOTE_P_42</f>
        <v/>
      </c>
      <c r="AO80" s="552"/>
      <c r="AP80" s="1645"/>
      <c r="AQ80" s="1645"/>
      <c r="AV80" s="1645"/>
      <c r="AY80" s="553"/>
      <c r="BE80" s="1641"/>
      <c r="BF80" s="1641"/>
      <c r="BG80" s="1641"/>
      <c r="BH80" s="1641"/>
      <c r="BI80" s="1641"/>
      <c r="BJ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379</v>
      </c>
      <c r="H81" s="1064"/>
      <c r="I81" s="827"/>
      <c r="J81" s="1064"/>
      <c r="K81" s="1064"/>
      <c r="L81" s="1064"/>
      <c r="M81" s="1064"/>
      <c r="N81" s="1064"/>
      <c r="O81" s="1064"/>
      <c r="P81" s="1064"/>
      <c r="Q81" s="1064"/>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29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AO81" s="552"/>
      <c r="AP81" s="1645"/>
      <c r="AQ81" s="1645"/>
      <c r="AV81" s="1645"/>
      <c r="AY81" s="553"/>
      <c r="BE81" s="1641"/>
      <c r="BF81" s="1641"/>
      <c r="BG81" s="1641"/>
      <c r="BH81" s="1641"/>
      <c r="BI81" s="1641"/>
      <c r="BJ81" s="1169">
        <v>19</v>
      </c>
    </row>
    <row s="1375" customFormat="1" customHeight="1" ht="18.75" hidden="1">
      <c r="A82" s="2380" t="s">
        <v>653</v>
      </c>
      <c r="C82" s="744"/>
      <c r="D82" s="742"/>
      <c r="E82" s="555" t="str">
        <f>FHD_NUM_P_44</f>
        <v/>
      </c>
      <c r="F82" s="1889" t="str">
        <f>FHD_P_44</f>
        <v/>
      </c>
      <c r="G82" s="1890" t="s">
        <v>654</v>
      </c>
      <c r="H82" s="986"/>
      <c r="I82" s="586"/>
      <c r="J82" s="986"/>
      <c r="K82" s="986"/>
      <c r="L82" s="986"/>
      <c r="M82" s="986"/>
      <c r="N82" s="986"/>
      <c r="O82" s="986"/>
      <c r="P82" s="986"/>
      <c r="Q82" s="986"/>
      <c r="R82" s="986"/>
      <c r="S82" s="986"/>
      <c r="T82" s="986"/>
      <c r="U82" s="986"/>
      <c r="V82" s="986"/>
      <c r="W82" s="986"/>
      <c r="X82" s="986"/>
      <c r="Y82" s="986"/>
      <c r="Z82" s="986"/>
      <c r="AA82" s="986"/>
      <c r="AB82" s="986"/>
      <c r="AC82" s="986"/>
      <c r="AD82" s="986"/>
      <c r="AE82" s="986"/>
      <c r="AF82" s="986"/>
      <c r="AG82" s="986"/>
      <c r="AH82" s="986"/>
      <c r="AI82" s="986"/>
      <c r="AJ82" s="986"/>
      <c r="AK82" s="986"/>
      <c r="AL82" s="986"/>
      <c r="AM82" s="986"/>
      <c r="AN82" s="298" t="str">
        <f>FHD_NOTE_P_44</f>
        <v/>
      </c>
      <c r="AO82" s="743"/>
      <c r="AP82" s="744"/>
      <c r="AQ82" s="744"/>
      <c r="AV82" s="744"/>
      <c r="AY82" s="745"/>
      <c r="BE82" s="746"/>
      <c r="BF82" s="746"/>
      <c r="BG82" s="746"/>
      <c r="BH82" s="746"/>
      <c r="BI82" s="746"/>
      <c r="BJ82" s="919">
        <v>0</v>
      </c>
    </row>
    <row s="1375" customFormat="1" customHeight="1" ht="18.75" hidden="1">
      <c r="A83" s="2380"/>
      <c r="C83" s="744"/>
      <c r="D83" s="742"/>
      <c r="E83" s="555" t="str">
        <f>FHD_NUM_P_45</f>
        <v/>
      </c>
      <c r="F83" s="1889" t="str">
        <f>FHD_P_45</f>
        <v/>
      </c>
      <c r="G83" s="1890" t="s">
        <v>654</v>
      </c>
      <c r="H83" s="986"/>
      <c r="I83" s="586"/>
      <c r="J83" s="986"/>
      <c r="K83" s="986"/>
      <c r="L83" s="986"/>
      <c r="M83" s="986"/>
      <c r="N83" s="986"/>
      <c r="O83" s="986"/>
      <c r="P83" s="986"/>
      <c r="Q83" s="986"/>
      <c r="R83" s="986"/>
      <c r="S83" s="986"/>
      <c r="T83" s="986"/>
      <c r="U83" s="986"/>
      <c r="V83" s="986"/>
      <c r="W83" s="986"/>
      <c r="X83" s="986"/>
      <c r="Y83" s="986"/>
      <c r="Z83" s="986"/>
      <c r="AA83" s="986"/>
      <c r="AB83" s="986"/>
      <c r="AC83" s="986"/>
      <c r="AD83" s="986"/>
      <c r="AE83" s="986"/>
      <c r="AF83" s="986"/>
      <c r="AG83" s="986"/>
      <c r="AH83" s="986"/>
      <c r="AI83" s="986"/>
      <c r="AJ83" s="986"/>
      <c r="AK83" s="986"/>
      <c r="AL83" s="986"/>
      <c r="AM83" s="986"/>
      <c r="AN83" s="298" t="str">
        <f>FHD_NOTE_P_45</f>
        <v/>
      </c>
      <c r="AO83" s="743"/>
      <c r="AP83" s="744"/>
      <c r="AQ83" s="744"/>
      <c r="AV83" s="744"/>
      <c r="AY83" s="745"/>
      <c r="BE83" s="746"/>
      <c r="BF83" s="746"/>
      <c r="BG83" s="746"/>
      <c r="BH83" s="746"/>
      <c r="BI83" s="746"/>
      <c r="BJ83" s="919">
        <v>0</v>
      </c>
    </row>
    <row s="1375" customFormat="1" customHeight="1" ht="18.75" hidden="1">
      <c r="A84" s="2380"/>
      <c r="C84" s="744"/>
      <c r="D84" s="747"/>
      <c r="E84" s="555" t="str">
        <f>FHD_NUM_P_46</f>
        <v/>
      </c>
      <c r="F84" s="1889" t="str">
        <f>FHD_P_46</f>
        <v/>
      </c>
      <c r="G84" s="1890" t="s">
        <v>654</v>
      </c>
      <c r="H84" s="986"/>
      <c r="I84" s="586"/>
      <c r="J84" s="986"/>
      <c r="K84" s="986"/>
      <c r="L84" s="986"/>
      <c r="M84" s="986"/>
      <c r="N84" s="986"/>
      <c r="O84" s="986"/>
      <c r="P84" s="986"/>
      <c r="Q84" s="986"/>
      <c r="R84" s="986"/>
      <c r="S84" s="986"/>
      <c r="T84" s="986"/>
      <c r="U84" s="986"/>
      <c r="V84" s="986"/>
      <c r="W84" s="986"/>
      <c r="X84" s="986"/>
      <c r="Y84" s="986"/>
      <c r="Z84" s="986"/>
      <c r="AA84" s="986"/>
      <c r="AB84" s="986"/>
      <c r="AC84" s="986"/>
      <c r="AD84" s="986"/>
      <c r="AE84" s="986"/>
      <c r="AF84" s="986"/>
      <c r="AG84" s="986"/>
      <c r="AH84" s="986"/>
      <c r="AI84" s="986"/>
      <c r="AJ84" s="986"/>
      <c r="AK84" s="986"/>
      <c r="AL84" s="986"/>
      <c r="AM84" s="986"/>
      <c r="AN84" s="298" t="str">
        <f>FHD_NOTE_P_46</f>
        <v/>
      </c>
      <c r="AO84" s="743"/>
      <c r="AP84" s="744"/>
      <c r="AQ84" s="744"/>
      <c r="AV84" s="744"/>
      <c r="AY84" s="745"/>
      <c r="BE84" s="746"/>
      <c r="BF84" s="746"/>
      <c r="BG84" s="746"/>
      <c r="BH84" s="746"/>
      <c r="BI84" s="746"/>
      <c r="BJ84" s="919">
        <v>0</v>
      </c>
    </row>
    <row s="1375" customFormat="1" customHeight="1" ht="18.75" hidden="1">
      <c r="A85" s="2380"/>
      <c r="C85" s="744"/>
      <c r="D85" s="742"/>
      <c r="E85" s="555" t="str">
        <f>FHD_NUM_P_47</f>
        <v/>
      </c>
      <c r="F85" s="1889" t="str">
        <f>FHD_P_47</f>
        <v/>
      </c>
      <c r="G85" s="1890" t="s">
        <v>654</v>
      </c>
      <c r="H85" s="986"/>
      <c r="I85" s="5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298" t="str">
        <f>FHD_NOTE_P_47</f>
        <v/>
      </c>
      <c r="AO85" s="743"/>
      <c r="AP85" s="744"/>
      <c r="AQ85" s="744"/>
      <c r="AV85" s="744"/>
      <c r="AY85" s="745"/>
      <c r="BE85" s="746"/>
      <c r="BF85" s="746"/>
      <c r="BG85" s="746"/>
      <c r="BH85" s="746"/>
      <c r="BI85" s="746"/>
      <c r="BJ85" s="919">
        <v>0</v>
      </c>
    </row>
    <row s="1644" customFormat="1" customHeight="1" ht="18.75" hidden="1">
      <c r="A86" s="2380"/>
      <c r="B86" s="919"/>
      <c r="C86" s="744"/>
      <c r="D86" s="742"/>
      <c r="E86" s="555" t="str">
        <f>FHD_NUM_P_48</f>
        <v/>
      </c>
      <c r="F86" s="1889" t="str">
        <f>FHD_P_48</f>
        <v/>
      </c>
      <c r="G86" s="1890" t="s">
        <v>654</v>
      </c>
      <c r="H86" s="986"/>
      <c r="I86" s="5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298" t="str">
        <f>FHD_NOTE_P_48</f>
        <v/>
      </c>
      <c r="AO86" s="743"/>
      <c r="AP86" s="744"/>
      <c r="AQ86" s="744"/>
      <c r="AR86" s="919"/>
      <c r="AS86" s="919"/>
      <c r="AT86" s="919"/>
      <c r="AU86" s="919"/>
      <c r="AV86" s="744"/>
      <c r="AW86" s="919"/>
      <c r="AX86" s="919"/>
      <c r="AY86" s="745"/>
      <c r="AZ86" s="919"/>
      <c r="BA86" s="919"/>
      <c r="BB86" s="919"/>
      <c r="BC86" s="919"/>
      <c r="BD86" s="919"/>
      <c r="BE86" s="746"/>
      <c r="BF86" s="746"/>
      <c r="BG86" s="746"/>
      <c r="BH86" s="746"/>
      <c r="BI86" s="746"/>
      <c r="BJ86" s="748">
        <v>0</v>
      </c>
    </row>
    <row s="1644" customFormat="1" customHeight="1" ht="18.75" hidden="1">
      <c r="A87" s="2380"/>
      <c r="B87" s="919"/>
      <c r="C87" s="744"/>
      <c r="D87" s="742"/>
      <c r="E87" s="555" t="str">
        <f>FHD_NUM_P_49</f>
        <v/>
      </c>
      <c r="F87" s="1889" t="str">
        <f>FHD_P_49</f>
        <v/>
      </c>
      <c r="G87" s="1890" t="s">
        <v>654</v>
      </c>
      <c r="H87" s="987">
        <f>SUM(H88:H89)</f>
        <v>0</v>
      </c>
      <c r="I87" s="758">
        <f>SUM(I88:I89)</f>
        <v>0</v>
      </c>
      <c r="J87" s="987">
        <f>SUM(J88:J89)</f>
        <v>0</v>
      </c>
      <c r="K87" s="987">
        <f>SUM(K88:K89)</f>
        <v>0</v>
      </c>
      <c r="L87" s="987">
        <f>SUM(L88:L89)</f>
        <v>0</v>
      </c>
      <c r="M87" s="987">
        <f>SUM(M88:M89)</f>
        <v>0</v>
      </c>
      <c r="N87" s="987">
        <f>SUM(N88:N89)</f>
        <v>0</v>
      </c>
      <c r="O87" s="987">
        <f>SUM(O88:O89)</f>
        <v>0</v>
      </c>
      <c r="P87" s="987">
        <f>SUM(P88:P89)</f>
        <v>0</v>
      </c>
      <c r="Q87" s="987">
        <f>SUM(Q88:Q89)</f>
        <v>0</v>
      </c>
      <c r="R87" s="987">
        <f>SUM(R88:R89)</f>
        <v>0</v>
      </c>
      <c r="S87" s="987">
        <f>SUM(S88:S89)</f>
        <v>0</v>
      </c>
      <c r="T87" s="987">
        <f>SUM(T88:T89)</f>
        <v>0</v>
      </c>
      <c r="U87" s="987">
        <f>SUM(U88:U89)</f>
        <v>0</v>
      </c>
      <c r="V87" s="987">
        <f>SUM(V88:V89)</f>
        <v>0</v>
      </c>
      <c r="W87" s="987">
        <f>SUM(W88:W89)</f>
        <v>0</v>
      </c>
      <c r="X87" s="987">
        <f>SUM(X88:X89)</f>
        <v>0</v>
      </c>
      <c r="Y87" s="987">
        <f>SUM(Y88:Y89)</f>
        <v>0</v>
      </c>
      <c r="Z87" s="987">
        <f>SUM(Z88:Z89)</f>
        <v>0</v>
      </c>
      <c r="AA87" s="987">
        <f>SUM(AA88:AA89)</f>
        <v>0</v>
      </c>
      <c r="AB87" s="987">
        <f>SUM(AB88:AB89)</f>
        <v>0</v>
      </c>
      <c r="AC87" s="987">
        <f>SUM(AC88:AC89)</f>
        <v>0</v>
      </c>
      <c r="AD87" s="987">
        <f>SUM(AD88:AD89)</f>
        <v>0</v>
      </c>
      <c r="AE87" s="987">
        <f>SUM(AE88:AE89)</f>
        <v>0</v>
      </c>
      <c r="AF87" s="987">
        <f>SUM(AF88:AF89)</f>
        <v>0</v>
      </c>
      <c r="AG87" s="987">
        <f>SUM(AG88:AG89)</f>
        <v>0</v>
      </c>
      <c r="AH87" s="987">
        <f>SUM(AH88:AH89)</f>
        <v>0</v>
      </c>
      <c r="AI87" s="987">
        <f>SUM(AI88:AI89)</f>
        <v>0</v>
      </c>
      <c r="AJ87" s="987">
        <f>SUM(AJ88:AJ89)</f>
        <v>0</v>
      </c>
      <c r="AK87" s="987">
        <f>SUM(AK88:AK89)</f>
        <v>0</v>
      </c>
      <c r="AL87" s="987">
        <f>SUM(AL88:AL89)</f>
        <v>0</v>
      </c>
      <c r="AM87" s="987">
        <f>SUM(AM88:AM89)</f>
        <v>0</v>
      </c>
      <c r="AN87" s="298" t="str">
        <f>FHD_NOTE_P_49</f>
        <v/>
      </c>
      <c r="AO87" s="743"/>
      <c r="AP87" s="744"/>
      <c r="AQ87" s="744"/>
      <c r="AR87" s="919"/>
      <c r="AS87" s="919"/>
      <c r="AT87" s="919"/>
      <c r="AU87" s="919"/>
      <c r="AV87" s="744"/>
      <c r="AW87" s="919"/>
      <c r="AX87" s="919"/>
      <c r="AY87" s="745"/>
      <c r="AZ87" s="919"/>
      <c r="BA87" s="919"/>
      <c r="BB87" s="919"/>
      <c r="BC87" s="919"/>
      <c r="BD87" s="919"/>
      <c r="BE87" s="746"/>
      <c r="BF87" s="746"/>
      <c r="BG87" s="746"/>
      <c r="BH87" s="746"/>
      <c r="BI87" s="746"/>
      <c r="BJ87" s="748">
        <v>0</v>
      </c>
    </row>
    <row s="1644" customFormat="1" customHeight="1" ht="18.75" hidden="1">
      <c r="A88" s="2380"/>
      <c r="B88" s="919"/>
      <c r="C88" s="744"/>
      <c r="D88" s="742"/>
      <c r="E88" s="555" t="str">
        <f>FHD_NUM_P_50</f>
        <v/>
      </c>
      <c r="F88" s="1889" t="str">
        <f>FHD_P_50</f>
        <v/>
      </c>
      <c r="G88" s="1890" t="s">
        <v>654</v>
      </c>
      <c r="H88" s="986"/>
      <c r="I88" s="5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298" t="str">
        <f>FHD_NOTE_P_50</f>
        <v/>
      </c>
      <c r="AO88" s="743"/>
      <c r="AP88" s="744"/>
      <c r="AQ88" s="744"/>
      <c r="AR88" s="919"/>
      <c r="AS88" s="919"/>
      <c r="AT88" s="919"/>
      <c r="AU88" s="919"/>
      <c r="AV88" s="744"/>
      <c r="AW88" s="919"/>
      <c r="AX88" s="919"/>
      <c r="AY88" s="745"/>
      <c r="AZ88" s="919"/>
      <c r="BA88" s="919"/>
      <c r="BB88" s="919"/>
      <c r="BC88" s="919"/>
      <c r="BD88" s="919"/>
      <c r="BE88" s="746"/>
      <c r="BF88" s="746"/>
      <c r="BG88" s="746"/>
      <c r="BH88" s="746"/>
      <c r="BI88" s="746"/>
      <c r="BJ88" s="748">
        <v>0</v>
      </c>
    </row>
    <row s="1644" customFormat="1" customHeight="1" ht="18.75" hidden="1">
      <c r="A89" s="2380"/>
      <c r="B89" s="919"/>
      <c r="C89" s="744"/>
      <c r="D89" s="742"/>
      <c r="E89" s="555" t="str">
        <f>FHD_NUM_P_51</f>
        <v/>
      </c>
      <c r="F89" s="1889" t="str">
        <f>FHD_P_51</f>
        <v/>
      </c>
      <c r="G89" s="1890" t="s">
        <v>654</v>
      </c>
      <c r="H89" s="986"/>
      <c r="I89" s="5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298" t="str">
        <f>FHD_NOTE_P_51</f>
        <v/>
      </c>
      <c r="AO89" s="743"/>
      <c r="AP89" s="744"/>
      <c r="AQ89" s="744"/>
      <c r="AR89" s="919"/>
      <c r="AS89" s="919"/>
      <c r="AT89" s="919"/>
      <c r="AU89" s="919"/>
      <c r="AV89" s="744"/>
      <c r="AW89" s="919"/>
      <c r="AX89" s="919"/>
      <c r="AY89" s="745"/>
      <c r="AZ89" s="919"/>
      <c r="BA89" s="919"/>
      <c r="BB89" s="919"/>
      <c r="BC89" s="919"/>
      <c r="BD89" s="919"/>
      <c r="BE89" s="746"/>
      <c r="BF89" s="746"/>
      <c r="BG89" s="746"/>
      <c r="BH89" s="746"/>
      <c r="BI89" s="746"/>
      <c r="BJ89" s="748">
        <v>0</v>
      </c>
    </row>
    <row s="1644" customFormat="1" customHeight="1" ht="18.75" hidden="1">
      <c r="A90" s="2380"/>
      <c r="B90" s="919"/>
      <c r="C90" s="744"/>
      <c r="D90" s="742"/>
      <c r="E90" s="555" t="str">
        <f>FHD_NUM_P_52</f>
        <v/>
      </c>
      <c r="F90" s="1889" t="str">
        <f>FHD_P_52</f>
        <v/>
      </c>
      <c r="G90" s="1890" t="s">
        <v>631</v>
      </c>
      <c r="H90" s="985"/>
      <c r="I90" s="566"/>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c r="AL90" s="985"/>
      <c r="AM90" s="985"/>
      <c r="AN90" s="298" t="str">
        <f>FHD_NOTE_P_52</f>
        <v/>
      </c>
      <c r="AO90" s="743"/>
      <c r="AP90" s="744"/>
      <c r="AQ90" s="744"/>
      <c r="AR90" s="919"/>
      <c r="AS90" s="919"/>
      <c r="AT90" s="919"/>
      <c r="AU90" s="919"/>
      <c r="AV90" s="744"/>
      <c r="AW90" s="919"/>
      <c r="AX90" s="919"/>
      <c r="AY90" s="745"/>
      <c r="AZ90" s="919"/>
      <c r="BA90" s="919"/>
      <c r="BB90" s="919"/>
      <c r="BC90" s="919"/>
      <c r="BD90" s="919"/>
      <c r="BE90" s="746"/>
      <c r="BF90" s="746"/>
      <c r="BG90" s="746"/>
      <c r="BH90" s="746"/>
      <c r="BI90" s="746"/>
      <c r="BJ90" s="748">
        <v>0</v>
      </c>
    </row>
    <row s="1375" customFormat="1" customHeight="1" ht="18.75" hidden="1">
      <c r="A91" s="2382" t="s">
        <v>655</v>
      </c>
      <c r="C91" s="744"/>
      <c r="D91" s="742"/>
      <c r="E91" s="555" t="str">
        <f>FHD_NUM_P_53</f>
        <v/>
      </c>
      <c r="F91" s="1889" t="str">
        <f>FHD_P_53</f>
        <v/>
      </c>
      <c r="G91" s="1890" t="s">
        <v>654</v>
      </c>
      <c r="H91" s="986"/>
      <c r="I91" s="586"/>
      <c r="J91" s="986"/>
      <c r="K91" s="986"/>
      <c r="L91" s="986"/>
      <c r="M91" s="986"/>
      <c r="N91" s="986"/>
      <c r="O91" s="986"/>
      <c r="P91" s="986"/>
      <c r="Q91" s="986"/>
      <c r="R91" s="986"/>
      <c r="S91" s="986"/>
      <c r="T91" s="986"/>
      <c r="U91" s="986"/>
      <c r="V91" s="986"/>
      <c r="W91" s="986"/>
      <c r="X91" s="986"/>
      <c r="Y91" s="986"/>
      <c r="Z91" s="986"/>
      <c r="AA91" s="986"/>
      <c r="AB91" s="986"/>
      <c r="AC91" s="986"/>
      <c r="AD91" s="986"/>
      <c r="AE91" s="986"/>
      <c r="AF91" s="986"/>
      <c r="AG91" s="986"/>
      <c r="AH91" s="986"/>
      <c r="AI91" s="986"/>
      <c r="AJ91" s="986"/>
      <c r="AK91" s="986"/>
      <c r="AL91" s="986"/>
      <c r="AM91" s="986"/>
      <c r="AN91" s="298" t="str">
        <f>FHD_NOTE_P_53</f>
        <v/>
      </c>
      <c r="AO91" s="743"/>
      <c r="AP91" s="744"/>
      <c r="AQ91" s="744"/>
      <c r="AV91" s="744"/>
      <c r="AY91" s="745"/>
      <c r="BE91" s="746"/>
      <c r="BF91" s="746"/>
      <c r="BG91" s="746"/>
      <c r="BH91" s="746"/>
      <c r="BI91" s="746"/>
      <c r="BJ91" s="919">
        <v>0</v>
      </c>
    </row>
    <row s="1375" customFormat="1" customHeight="1" ht="18.75" hidden="1">
      <c r="A92" s="2382"/>
      <c r="C92" s="744"/>
      <c r="D92" s="742"/>
      <c r="E92" s="555" t="str">
        <f>FHD_NUM_P_54</f>
        <v/>
      </c>
      <c r="F92" s="1889" t="str">
        <f>FHD_P_54</f>
        <v/>
      </c>
      <c r="G92" s="1890" t="s">
        <v>654</v>
      </c>
      <c r="H92" s="986"/>
      <c r="I92" s="586"/>
      <c r="J92" s="986"/>
      <c r="K92" s="986"/>
      <c r="L92" s="986"/>
      <c r="M92" s="986"/>
      <c r="N92" s="986"/>
      <c r="O92" s="986"/>
      <c r="P92" s="986"/>
      <c r="Q92" s="986"/>
      <c r="R92" s="986"/>
      <c r="S92" s="986"/>
      <c r="T92" s="986"/>
      <c r="U92" s="986"/>
      <c r="V92" s="986"/>
      <c r="W92" s="986"/>
      <c r="X92" s="986"/>
      <c r="Y92" s="986"/>
      <c r="Z92" s="986"/>
      <c r="AA92" s="986"/>
      <c r="AB92" s="986"/>
      <c r="AC92" s="986"/>
      <c r="AD92" s="986"/>
      <c r="AE92" s="986"/>
      <c r="AF92" s="986"/>
      <c r="AG92" s="986"/>
      <c r="AH92" s="986"/>
      <c r="AI92" s="986"/>
      <c r="AJ92" s="986"/>
      <c r="AK92" s="986"/>
      <c r="AL92" s="986"/>
      <c r="AM92" s="986"/>
      <c r="AN92" s="298" t="str">
        <f>FHD_NOTE_P_54</f>
        <v/>
      </c>
      <c r="AO92" s="743"/>
      <c r="AP92" s="744"/>
      <c r="AQ92" s="744"/>
      <c r="AV92" s="744"/>
      <c r="AY92" s="745"/>
      <c r="BE92" s="746"/>
      <c r="BF92" s="746"/>
      <c r="BG92" s="746"/>
      <c r="BH92" s="746"/>
      <c r="BI92" s="746"/>
      <c r="BJ92" s="919">
        <v>0</v>
      </c>
    </row>
    <row s="1375" customFormat="1" customHeight="1" ht="18.75" hidden="1">
      <c r="A93" s="2382"/>
      <c r="C93" s="744"/>
      <c r="D93" s="747"/>
      <c r="E93" s="555" t="str">
        <f>FHD_NUM_P_55</f>
        <v/>
      </c>
      <c r="F93" s="1889" t="str">
        <f>FHD_P_55</f>
        <v/>
      </c>
      <c r="G93" s="1893"/>
      <c r="H93" s="986"/>
      <c r="I93" s="586"/>
      <c r="J93" s="986"/>
      <c r="K93" s="986"/>
      <c r="L93" s="986"/>
      <c r="M93" s="986"/>
      <c r="N93" s="986"/>
      <c r="O93" s="986"/>
      <c r="P93" s="986"/>
      <c r="Q93" s="986"/>
      <c r="R93" s="986"/>
      <c r="S93" s="986"/>
      <c r="T93" s="986"/>
      <c r="U93" s="986"/>
      <c r="V93" s="986"/>
      <c r="W93" s="986"/>
      <c r="X93" s="986"/>
      <c r="Y93" s="986"/>
      <c r="Z93" s="986"/>
      <c r="AA93" s="986"/>
      <c r="AB93" s="986"/>
      <c r="AC93" s="986"/>
      <c r="AD93" s="986"/>
      <c r="AE93" s="986"/>
      <c r="AF93" s="986"/>
      <c r="AG93" s="986"/>
      <c r="AH93" s="986"/>
      <c r="AI93" s="986"/>
      <c r="AJ93" s="986"/>
      <c r="AK93" s="986"/>
      <c r="AL93" s="986"/>
      <c r="AM93" s="986"/>
      <c r="AN93" s="298" t="str">
        <f>FHD_NOTE_P_55</f>
        <v/>
      </c>
      <c r="AO93" s="743"/>
      <c r="AP93" s="744"/>
      <c r="AQ93" s="744"/>
      <c r="AV93" s="744"/>
      <c r="AY93" s="745"/>
      <c r="BE93" s="746"/>
      <c r="BF93" s="746"/>
      <c r="BG93" s="746"/>
      <c r="BH93" s="746"/>
      <c r="BI93" s="746"/>
      <c r="BJ93" s="919">
        <v>0</v>
      </c>
    </row>
    <row s="1375" customFormat="1" customHeight="1" ht="18.75" hidden="1">
      <c r="A94" s="2382"/>
      <c r="C94" s="744"/>
      <c r="D94" s="742"/>
      <c r="E94" s="555" t="str">
        <f>FHD_NUM_P_56</f>
        <v/>
      </c>
      <c r="F94" s="1889" t="str">
        <f>FHD_P_56</f>
        <v/>
      </c>
      <c r="G94" s="1890" t="s">
        <v>656</v>
      </c>
      <c r="H94" s="986"/>
      <c r="I94" s="5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986"/>
      <c r="AM94" s="986"/>
      <c r="AN94" s="298" t="str">
        <f>FHD_NOTE_P_56</f>
        <v/>
      </c>
      <c r="AO94" s="743"/>
      <c r="AP94" s="744"/>
      <c r="AQ94" s="744"/>
      <c r="AV94" s="744"/>
      <c r="AY94" s="745"/>
      <c r="BE94" s="746"/>
      <c r="BF94" s="746"/>
      <c r="BG94" s="746"/>
      <c r="BH94" s="746"/>
      <c r="BI94" s="746"/>
      <c r="BJ94" s="919">
        <v>0</v>
      </c>
    </row>
    <row s="1644" customFormat="1" customHeight="1" ht="18.75" hidden="1">
      <c r="A95" s="2382"/>
      <c r="B95" s="919"/>
      <c r="C95" s="744"/>
      <c r="D95" s="742"/>
      <c r="E95" s="555" t="str">
        <f>FHD_NUM_P_57</f>
        <v/>
      </c>
      <c r="F95" s="1889" t="str">
        <f>FHD_P_57</f>
        <v/>
      </c>
      <c r="G95" s="1890" t="s">
        <v>631</v>
      </c>
      <c r="H95" s="985"/>
      <c r="I95" s="566"/>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985"/>
      <c r="AM95" s="985"/>
      <c r="AN95" s="298" t="str">
        <f>FHD_NOTE_P_57</f>
        <v/>
      </c>
      <c r="AO95" s="743"/>
      <c r="AP95" s="744"/>
      <c r="AQ95" s="744"/>
      <c r="AR95" s="919"/>
      <c r="AS95" s="919"/>
      <c r="AT95" s="919"/>
      <c r="AU95" s="919"/>
      <c r="AV95" s="744"/>
      <c r="AW95" s="919"/>
      <c r="AX95" s="919"/>
      <c r="AY95" s="745"/>
      <c r="AZ95" s="919"/>
      <c r="BA95" s="919"/>
      <c r="BB95" s="919"/>
      <c r="BC95" s="919"/>
      <c r="BD95" s="919"/>
      <c r="BE95" s="746"/>
      <c r="BF95" s="746"/>
      <c r="BG95" s="746"/>
      <c r="BH95" s="746"/>
      <c r="BI95" s="746"/>
      <c r="BJ95" s="748">
        <v>0</v>
      </c>
    </row>
    <row customHeight="1" ht="18.75" hidden="1">
      <c r="A96" s="2380" t="s">
        <v>657</v>
      </c>
      <c r="D96" s="1647"/>
      <c r="E96" s="555" t="str">
        <f>FHD_NUM_P_58</f>
        <v/>
      </c>
      <c r="F96" s="1889" t="str">
        <f>FHD_P_58</f>
        <v/>
      </c>
      <c r="G96" s="1890" t="s">
        <v>654</v>
      </c>
      <c r="H96" s="986"/>
      <c r="I96" s="5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986"/>
      <c r="AM96" s="986"/>
      <c r="AN96" s="298" t="str">
        <f>FHD_NOTE_P_58</f>
        <v/>
      </c>
      <c r="AO96" s="552"/>
      <c r="BJ96" s="1640">
        <v>0</v>
      </c>
    </row>
    <row customHeight="1" ht="18.75" hidden="1">
      <c r="A97" s="2380"/>
      <c r="D97" s="1647"/>
      <c r="E97" s="555" t="str">
        <f>FHD_NUM_P_59</f>
        <v/>
      </c>
      <c r="F97" s="1889" t="str">
        <f>FHD_P_59</f>
        <v/>
      </c>
      <c r="G97" s="1890" t="s">
        <v>654</v>
      </c>
      <c r="H97" s="986"/>
      <c r="I97" s="5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986"/>
      <c r="AM97" s="986"/>
      <c r="AN97" s="298" t="str">
        <f>FHD_NOTE_P_59</f>
        <v/>
      </c>
      <c r="AO97" s="552"/>
      <c r="BJ97" s="1640">
        <v>0</v>
      </c>
    </row>
    <row customHeight="1" ht="18.75" hidden="1">
      <c r="A98" s="2380"/>
      <c r="D98" s="1647"/>
      <c r="E98" s="555" t="str">
        <f>FHD_NUM_P_60</f>
        <v/>
      </c>
      <c r="F98" s="1889" t="str">
        <f>FHD_P_60</f>
        <v/>
      </c>
      <c r="G98" s="1890" t="s">
        <v>654</v>
      </c>
      <c r="H98" s="986"/>
      <c r="I98" s="586"/>
      <c r="J98" s="986"/>
      <c r="K98" s="986"/>
      <c r="L98" s="986"/>
      <c r="M98" s="986"/>
      <c r="N98" s="986"/>
      <c r="O98" s="986"/>
      <c r="P98" s="986"/>
      <c r="Q98" s="986"/>
      <c r="R98" s="986"/>
      <c r="S98" s="986"/>
      <c r="T98" s="986"/>
      <c r="U98" s="986"/>
      <c r="V98" s="986"/>
      <c r="W98" s="986"/>
      <c r="X98" s="986"/>
      <c r="Y98" s="986"/>
      <c r="Z98" s="986"/>
      <c r="AA98" s="986"/>
      <c r="AB98" s="986"/>
      <c r="AC98" s="986"/>
      <c r="AD98" s="986"/>
      <c r="AE98" s="986"/>
      <c r="AF98" s="986"/>
      <c r="AG98" s="986"/>
      <c r="AH98" s="986"/>
      <c r="AI98" s="986"/>
      <c r="AJ98" s="986"/>
      <c r="AK98" s="986"/>
      <c r="AL98" s="986"/>
      <c r="AM98" s="986"/>
      <c r="AN98" s="298" t="str">
        <f>FHD_NOTE_P_60</f>
        <v/>
      </c>
      <c r="AO98" s="552"/>
      <c r="BJ98" s="1640">
        <v>0</v>
      </c>
    </row>
    <row s="1375" customFormat="1" customHeight="1" ht="18.75">
      <c r="A99" s="2380" t="s">
        <v>658</v>
      </c>
      <c r="C99" s="1645"/>
      <c r="D99" s="1647"/>
      <c r="E99" s="555" t="str">
        <f>FHD_NUM_P_61</f>
        <v>7</v>
      </c>
      <c r="F99" s="188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7" t="s">
        <v>629</v>
      </c>
      <c r="H99" s="988"/>
      <c r="I99" s="751"/>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29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AO99" s="552"/>
      <c r="AP99" s="1645"/>
      <c r="AQ99" s="1645"/>
      <c r="AV99" s="1645"/>
      <c r="AY99" s="553"/>
      <c r="BE99" s="1641"/>
      <c r="BF99" s="1641"/>
      <c r="BG99" s="1641"/>
      <c r="BH99" s="1641"/>
      <c r="BI99" s="1641"/>
      <c r="BJ99" s="1169">
        <v>0</v>
      </c>
    </row>
    <row s="1651" customFormat="1" customHeight="1" ht="0.75">
      <c r="A100" s="2380"/>
      <c r="D100" s="557"/>
      <c r="E100" s="1022" t="str">
        <f>E99&amp;".0"</f>
        <v>7.0</v>
      </c>
      <c r="F100" s="1003"/>
      <c r="G100" s="1004"/>
      <c r="H100" s="1001"/>
      <c r="I100" s="1001"/>
      <c r="J100" s="1001"/>
      <c r="K100" s="1001"/>
      <c r="L100" s="1001"/>
      <c r="M100" s="1001"/>
      <c r="N100" s="1001"/>
      <c r="O100" s="1001"/>
      <c r="P100" s="1001"/>
      <c r="Q100" s="1001"/>
      <c r="R100" s="1001"/>
      <c r="S100" s="1001"/>
      <c r="T100" s="1001"/>
      <c r="U100" s="1001"/>
      <c r="V100" s="1001"/>
      <c r="W100" s="1001"/>
      <c r="X100" s="1001"/>
      <c r="Y100" s="1001"/>
      <c r="Z100" s="1001"/>
      <c r="AA100" s="1001"/>
      <c r="AB100" s="1001"/>
      <c r="AC100" s="1001"/>
      <c r="AD100" s="1001"/>
      <c r="AE100" s="1001"/>
      <c r="AF100" s="1001"/>
      <c r="AG100" s="1001"/>
      <c r="AH100" s="1001"/>
      <c r="AI100" s="1001"/>
      <c r="AJ100" s="1001"/>
      <c r="AK100" s="1001"/>
      <c r="AL100" s="1001"/>
      <c r="AM100" s="1001"/>
      <c r="AN100" s="1005"/>
      <c r="BJ100" s="1645">
        <v>0</v>
      </c>
    </row>
    <row customHeight="1" ht="15">
      <c r="A101" s="2380"/>
      <c r="D101" s="1642"/>
      <c r="E101" s="980"/>
      <c r="F101" s="981" t="s">
        <v>659</v>
      </c>
      <c r="G101" s="581"/>
      <c r="H101" s="582"/>
      <c r="I101" s="582"/>
      <c r="J101" s="2695"/>
      <c r="K101" s="2696"/>
      <c r="L101" s="2697"/>
      <c r="M101" s="2698"/>
      <c r="N101" s="2699"/>
      <c r="O101" s="2700"/>
      <c r="P101" s="2701"/>
      <c r="Q101" s="2702"/>
      <c r="R101" s="2703"/>
      <c r="S101" s="2704"/>
      <c r="T101" s="2705"/>
      <c r="U101" s="2706"/>
      <c r="V101" s="2707"/>
      <c r="W101" s="2708"/>
      <c r="X101" s="2709"/>
      <c r="Y101" s="2710"/>
      <c r="Z101" s="2711"/>
      <c r="AA101" s="2712"/>
      <c r="AB101" s="2713"/>
      <c r="AC101" s="2714"/>
      <c r="AD101" s="2715"/>
      <c r="AE101" s="2716"/>
      <c r="AF101" s="2717"/>
      <c r="AG101" s="2718"/>
      <c r="AH101" s="2719"/>
      <c r="AI101" s="2720"/>
      <c r="AJ101" s="2721"/>
      <c r="AK101" s="3139"/>
      <c r="AL101" s="3140"/>
      <c r="AM101" s="3141"/>
      <c r="AN101" s="1013" t="s">
        <v>660</v>
      </c>
      <c r="AO101" s="552"/>
      <c r="BJ101" s="1640">
        <v>0</v>
      </c>
    </row>
    <row s="1375" customFormat="1" customHeight="1" ht="18.75">
      <c r="A102" s="2380"/>
      <c r="C102" s="1645"/>
      <c r="D102" s="1647"/>
      <c r="E102" s="555" t="str">
        <f>FHD_NUM_P_62</f>
        <v>8</v>
      </c>
      <c r="F102" s="1889" t="str">
        <f>FHD_P_62</f>
        <v>Тепловая нагрузка по договорам, заключенным в рамках осуществления регулируемых видов деятельности</v>
      </c>
      <c r="G102" s="1886" t="s">
        <v>629</v>
      </c>
      <c r="H102" s="566"/>
      <c r="I102" s="566"/>
      <c r="J102" s="566"/>
      <c r="K102" s="566"/>
      <c r="L102" s="566"/>
      <c r="M102" s="566"/>
      <c r="N102" s="566"/>
      <c r="O102" s="566"/>
      <c r="P102" s="566"/>
      <c r="Q102" s="566"/>
      <c r="R102" s="566"/>
      <c r="S102" s="566"/>
      <c r="T102" s="566"/>
      <c r="U102" s="566"/>
      <c r="V102" s="566"/>
      <c r="W102" s="566"/>
      <c r="X102" s="566"/>
      <c r="Y102" s="566"/>
      <c r="Z102" s="566"/>
      <c r="AA102" s="566"/>
      <c r="AB102" s="566"/>
      <c r="AC102" s="566"/>
      <c r="AD102" s="566"/>
      <c r="AE102" s="566"/>
      <c r="AF102" s="566"/>
      <c r="AG102" s="566"/>
      <c r="AH102" s="566"/>
      <c r="AI102" s="566"/>
      <c r="AJ102" s="566"/>
      <c r="AK102" s="566"/>
      <c r="AL102" s="566"/>
      <c r="AM102" s="566"/>
      <c r="AN102" s="298" t="str">
        <f>FHD_NOTE_P_62</f>
        <v>Регулируемыми организациями указывается информация по договорам, заключенным в рамках осуществления регулируемых видов деятельности</v>
      </c>
      <c r="AO102" s="552"/>
      <c r="AP102" s="1645"/>
      <c r="AQ102" s="1645"/>
      <c r="AV102" s="1645"/>
      <c r="AY102" s="553"/>
      <c r="BE102" s="1641"/>
      <c r="BF102" s="1641"/>
      <c r="BG102" s="1641"/>
      <c r="BH102" s="1641"/>
      <c r="BI102" s="1641"/>
      <c r="BJ102" s="1169">
        <v>0</v>
      </c>
    </row>
    <row s="1375" customFormat="1" customHeight="1" ht="18.75">
      <c r="A103" s="2380"/>
      <c r="C103" s="1645"/>
      <c r="D103" s="1647"/>
      <c r="E103" s="555" t="str">
        <f>FHD_NUM_P_63</f>
        <v>9</v>
      </c>
      <c r="F103" s="1889" t="str">
        <f>FHD_P_63</f>
        <v>Объем вырабатываемой регулируемой организацией тепловой энергии в рамках осуществления регулируемых видов деятельности</v>
      </c>
      <c r="G103" s="1886" t="s">
        <v>656</v>
      </c>
      <c r="H103" s="586"/>
      <c r="I103" s="586"/>
      <c r="J103" s="586"/>
      <c r="K103" s="586"/>
      <c r="L103" s="586"/>
      <c r="M103" s="586"/>
      <c r="N103" s="586"/>
      <c r="O103" s="586"/>
      <c r="P103" s="586"/>
      <c r="Q103" s="586"/>
      <c r="R103" s="586"/>
      <c r="S103" s="586"/>
      <c r="T103" s="586"/>
      <c r="U103" s="586"/>
      <c r="V103" s="586"/>
      <c r="W103" s="586"/>
      <c r="X103" s="586"/>
      <c r="Y103" s="586"/>
      <c r="Z103" s="586"/>
      <c r="AA103" s="586"/>
      <c r="AB103" s="586"/>
      <c r="AC103" s="586"/>
      <c r="AD103" s="586"/>
      <c r="AE103" s="586"/>
      <c r="AF103" s="586"/>
      <c r="AG103" s="586"/>
      <c r="AH103" s="586"/>
      <c r="AI103" s="586"/>
      <c r="AJ103" s="586"/>
      <c r="AK103" s="586"/>
      <c r="AL103" s="586"/>
      <c r="AM103" s="586"/>
      <c r="AN103" s="29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AO103" s="552"/>
      <c r="AP103" s="1645"/>
      <c r="AQ103" s="1645"/>
      <c r="AV103" s="1645"/>
      <c r="AY103" s="553"/>
      <c r="BE103" s="1641"/>
      <c r="BF103" s="1641"/>
      <c r="BG103" s="1641"/>
      <c r="BH103" s="1641"/>
      <c r="BI103" s="1641"/>
      <c r="BJ103" s="1169">
        <v>0</v>
      </c>
    </row>
    <row s="1375" customFormat="1" customHeight="1" ht="18.75">
      <c r="A104" s="2380"/>
      <c r="C104" s="1645" t="s">
        <v>661</v>
      </c>
      <c r="D104" s="1647"/>
      <c r="E104" s="555" t="str">
        <f>FHD_NUM_P_64</f>
        <v>9.1</v>
      </c>
      <c r="F104" s="1889" t="str">
        <f>FHD_P_64</f>
        <v>Объем приобретаемой регулируемой организацией тепловой энергии в рамках осуществления регулируемых видов деятельности</v>
      </c>
      <c r="G104" s="1886" t="s">
        <v>656</v>
      </c>
      <c r="H104" s="554"/>
      <c r="I104" s="554"/>
      <c r="J104" s="554"/>
      <c r="K104" s="554"/>
      <c r="L104" s="554"/>
      <c r="M104" s="554"/>
      <c r="N104" s="554"/>
      <c r="O104" s="554"/>
      <c r="P104" s="554"/>
      <c r="Q104" s="554"/>
      <c r="R104" s="554"/>
      <c r="S104" s="554"/>
      <c r="T104" s="554"/>
      <c r="U104" s="554"/>
      <c r="V104" s="554"/>
      <c r="W104" s="554"/>
      <c r="X104" s="554"/>
      <c r="Y104" s="554"/>
      <c r="Z104" s="554"/>
      <c r="AA104" s="554"/>
      <c r="AB104" s="554"/>
      <c r="AC104" s="554"/>
      <c r="AD104" s="554"/>
      <c r="AE104" s="554"/>
      <c r="AF104" s="554"/>
      <c r="AG104" s="554"/>
      <c r="AH104" s="554"/>
      <c r="AI104" s="554"/>
      <c r="AJ104" s="554"/>
      <c r="AK104" s="554"/>
      <c r="AL104" s="554"/>
      <c r="AM104" s="554"/>
      <c r="AN104" s="298" t="str">
        <f>FHD_NOTE_P_64</f>
        <v>Информация указывается только едиными теплоснабжающими организациями.</v>
      </c>
      <c r="AO104" s="552"/>
      <c r="AP104" s="1645"/>
      <c r="AQ104" s="1645"/>
      <c r="AV104" s="1645"/>
      <c r="AY104" s="553"/>
      <c r="BE104" s="1641"/>
      <c r="BF104" s="1641"/>
      <c r="BG104" s="1641"/>
      <c r="BH104" s="1641"/>
      <c r="BI104" s="1641"/>
      <c r="BJ104" s="1169">
        <v>0</v>
      </c>
    </row>
    <row s="1375" customFormat="1" customHeight="1" ht="18.75">
      <c r="A105" s="2380"/>
      <c r="C105" s="1645"/>
      <c r="D105" s="1647"/>
      <c r="E105" s="555" t="str">
        <f>FHD_NUM_P_65</f>
        <v>10</v>
      </c>
      <c r="F105" s="188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6" t="s">
        <v>656</v>
      </c>
      <c r="H105" s="586"/>
      <c r="I105" s="586"/>
      <c r="J105" s="586"/>
      <c r="K105" s="586"/>
      <c r="L105" s="586"/>
      <c r="M105" s="586"/>
      <c r="N105" s="586"/>
      <c r="O105" s="586"/>
      <c r="P105" s="586"/>
      <c r="Q105" s="586"/>
      <c r="R105" s="586"/>
      <c r="S105" s="586"/>
      <c r="T105" s="586"/>
      <c r="U105" s="586"/>
      <c r="V105" s="586"/>
      <c r="W105" s="586"/>
      <c r="X105" s="586"/>
      <c r="Y105" s="586"/>
      <c r="Z105" s="586"/>
      <c r="AA105" s="586"/>
      <c r="AB105" s="586"/>
      <c r="AC105" s="586"/>
      <c r="AD105" s="586"/>
      <c r="AE105" s="586"/>
      <c r="AF105" s="586"/>
      <c r="AG105" s="586"/>
      <c r="AH105" s="586"/>
      <c r="AI105" s="586"/>
      <c r="AJ105" s="586"/>
      <c r="AK105" s="586"/>
      <c r="AL105" s="586"/>
      <c r="AM105" s="586"/>
      <c r="AN105" s="29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AO105" s="552"/>
      <c r="AP105" s="1645"/>
      <c r="AQ105" s="1645"/>
      <c r="AV105" s="1645"/>
      <c r="AY105" s="553"/>
      <c r="BE105" s="1641"/>
      <c r="BF105" s="1641"/>
      <c r="BG105" s="1641"/>
      <c r="BH105" s="1641"/>
      <c r="BI105" s="1641"/>
      <c r="BJ105" s="1169">
        <v>0</v>
      </c>
    </row>
    <row s="1375" customFormat="1" customHeight="1" ht="18.75">
      <c r="A106" s="2380"/>
      <c r="C106" s="1645"/>
      <c r="D106" s="1647"/>
      <c r="E106" s="555" t="str">
        <f>FHD_NUM_P_66</f>
        <v>10.1</v>
      </c>
      <c r="F106" s="1533" t="str">
        <f>FHD_P_66</f>
        <v>По приборам учёта </v>
      </c>
      <c r="G106" s="1886" t="s">
        <v>656</v>
      </c>
      <c r="H106" s="586"/>
      <c r="I106" s="586"/>
      <c r="J106" s="586"/>
      <c r="K106" s="586"/>
      <c r="L106" s="586"/>
      <c r="M106" s="586"/>
      <c r="N106" s="586"/>
      <c r="O106" s="586"/>
      <c r="P106" s="586"/>
      <c r="Q106" s="586"/>
      <c r="R106" s="586"/>
      <c r="S106" s="586"/>
      <c r="T106" s="586"/>
      <c r="U106" s="586"/>
      <c r="V106" s="586"/>
      <c r="W106" s="586"/>
      <c r="X106" s="586"/>
      <c r="Y106" s="586"/>
      <c r="Z106" s="586"/>
      <c r="AA106" s="586"/>
      <c r="AB106" s="586"/>
      <c r="AC106" s="586"/>
      <c r="AD106" s="586"/>
      <c r="AE106" s="586"/>
      <c r="AF106" s="586"/>
      <c r="AG106" s="586"/>
      <c r="AH106" s="586"/>
      <c r="AI106" s="586"/>
      <c r="AJ106" s="586"/>
      <c r="AK106" s="586"/>
      <c r="AL106" s="586"/>
      <c r="AM106" s="586"/>
      <c r="AN106" s="298" t="str">
        <f>FHD_NOTE_P_66</f>
        <v/>
      </c>
      <c r="AO106" s="552"/>
      <c r="AP106" s="1645"/>
      <c r="AQ106" s="1645"/>
      <c r="AV106" s="1645"/>
      <c r="AY106" s="553"/>
      <c r="BE106" s="1641"/>
      <c r="BF106" s="1641"/>
      <c r="BG106" s="1641"/>
      <c r="BH106" s="1641"/>
      <c r="BI106" s="1641"/>
      <c r="BJ106" s="1169">
        <v>0</v>
      </c>
    </row>
    <row s="1375" customFormat="1" customHeight="1" ht="18.75">
      <c r="A107" s="2380"/>
      <c r="C107" s="1645"/>
      <c r="D107" s="1647"/>
      <c r="E107" s="555" t="str">
        <f>FHD_NUM_P_67</f>
        <v>10.1.1</v>
      </c>
      <c r="F107" s="165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6" t="s">
        <v>656</v>
      </c>
      <c r="H107" s="586"/>
      <c r="I107" s="586"/>
      <c r="J107" s="586"/>
      <c r="K107" s="586"/>
      <c r="L107" s="586"/>
      <c r="M107" s="586"/>
      <c r="N107" s="586"/>
      <c r="O107" s="586"/>
      <c r="P107" s="586"/>
      <c r="Q107" s="586"/>
      <c r="R107" s="586"/>
      <c r="S107" s="586"/>
      <c r="T107" s="586"/>
      <c r="U107" s="586"/>
      <c r="V107" s="586"/>
      <c r="W107" s="586"/>
      <c r="X107" s="586"/>
      <c r="Y107" s="586"/>
      <c r="Z107" s="586"/>
      <c r="AA107" s="586"/>
      <c r="AB107" s="586"/>
      <c r="AC107" s="586"/>
      <c r="AD107" s="586"/>
      <c r="AE107" s="586"/>
      <c r="AF107" s="586"/>
      <c r="AG107" s="586"/>
      <c r="AH107" s="586"/>
      <c r="AI107" s="586"/>
      <c r="AJ107" s="586"/>
      <c r="AK107" s="586"/>
      <c r="AL107" s="586"/>
      <c r="AM107" s="586"/>
      <c r="AN107" s="298" t="str">
        <f>FHD_NOTE_P_67</f>
        <v/>
      </c>
      <c r="AO107" s="552"/>
      <c r="AP107" s="1645"/>
      <c r="AQ107" s="1645"/>
      <c r="AV107" s="1645"/>
      <c r="AY107" s="553"/>
      <c r="BE107" s="1641"/>
      <c r="BF107" s="1641"/>
      <c r="BG107" s="1641"/>
      <c r="BH107" s="1641"/>
      <c r="BI107" s="1641"/>
      <c r="BJ107" s="1169">
        <v>0</v>
      </c>
    </row>
    <row s="1375" customFormat="1" customHeight="1" ht="18.75">
      <c r="A108" s="2380"/>
      <c r="C108" s="1645"/>
      <c r="D108" s="1647"/>
      <c r="E108" s="555" t="str">
        <f>FHD_NUM_P_68</f>
        <v>10.2</v>
      </c>
      <c r="F108" s="1533" t="str">
        <f>FHD_P_68</f>
        <v>Расчётным путём</v>
      </c>
      <c r="G108" s="1886" t="s">
        <v>656</v>
      </c>
      <c r="H108" s="586"/>
      <c r="I108" s="586"/>
      <c r="J108" s="586"/>
      <c r="K108" s="586"/>
      <c r="L108" s="586"/>
      <c r="M108" s="586"/>
      <c r="N108" s="586"/>
      <c r="O108" s="586"/>
      <c r="P108" s="586"/>
      <c r="Q108" s="586"/>
      <c r="R108" s="586"/>
      <c r="S108" s="586"/>
      <c r="T108" s="586"/>
      <c r="U108" s="586"/>
      <c r="V108" s="586"/>
      <c r="W108" s="586"/>
      <c r="X108" s="586"/>
      <c r="Y108" s="586"/>
      <c r="Z108" s="586"/>
      <c r="AA108" s="586"/>
      <c r="AB108" s="586"/>
      <c r="AC108" s="586"/>
      <c r="AD108" s="586"/>
      <c r="AE108" s="586"/>
      <c r="AF108" s="586"/>
      <c r="AG108" s="586"/>
      <c r="AH108" s="586"/>
      <c r="AI108" s="586"/>
      <c r="AJ108" s="586"/>
      <c r="AK108" s="586"/>
      <c r="AL108" s="586"/>
      <c r="AM108" s="586"/>
      <c r="AN108" s="298" t="str">
        <f>FHD_NOTE_P_68</f>
        <v/>
      </c>
      <c r="AO108" s="552"/>
      <c r="AP108" s="1645"/>
      <c r="AQ108" s="1645"/>
      <c r="AV108" s="1645"/>
      <c r="AY108" s="553"/>
      <c r="BE108" s="1641"/>
      <c r="BF108" s="1641"/>
      <c r="BG108" s="1641"/>
      <c r="BH108" s="1641"/>
      <c r="BI108" s="1641"/>
      <c r="BJ108" s="1169">
        <v>0</v>
      </c>
    </row>
    <row s="1375" customFormat="1" customHeight="1" ht="18.75">
      <c r="A109" s="2380"/>
      <c r="C109" s="1645"/>
      <c r="D109" s="1647"/>
      <c r="E109" s="555" t="str">
        <f>FHD_NUM_P_69</f>
        <v>10.3</v>
      </c>
      <c r="F109" s="1533" t="str">
        <f>FHD_P_69</f>
        <v>По нормативам потребления коммунальных услуг и нормативам потребления коммунальных ресурсов</v>
      </c>
      <c r="G109" s="1886" t="s">
        <v>656</v>
      </c>
      <c r="H109" s="586"/>
      <c r="I109" s="586"/>
      <c r="J109" s="586"/>
      <c r="K109" s="586"/>
      <c r="L109" s="586"/>
      <c r="M109" s="586"/>
      <c r="N109" s="586"/>
      <c r="O109" s="586"/>
      <c r="P109" s="586"/>
      <c r="Q109" s="586"/>
      <c r="R109" s="586"/>
      <c r="S109" s="586"/>
      <c r="T109" s="586"/>
      <c r="U109" s="586"/>
      <c r="V109" s="586"/>
      <c r="W109" s="586"/>
      <c r="X109" s="586"/>
      <c r="Y109" s="586"/>
      <c r="Z109" s="586"/>
      <c r="AA109" s="586"/>
      <c r="AB109" s="586"/>
      <c r="AC109" s="586"/>
      <c r="AD109" s="586"/>
      <c r="AE109" s="586"/>
      <c r="AF109" s="586"/>
      <c r="AG109" s="586"/>
      <c r="AH109" s="586"/>
      <c r="AI109" s="586"/>
      <c r="AJ109" s="586"/>
      <c r="AK109" s="586"/>
      <c r="AL109" s="586"/>
      <c r="AM109" s="586"/>
      <c r="AN109" s="298" t="str">
        <f>FHD_NOTE_P_69</f>
        <v/>
      </c>
      <c r="AO109" s="552"/>
      <c r="AP109" s="1645"/>
      <c r="AQ109" s="1645"/>
      <c r="AV109" s="1645"/>
      <c r="AY109" s="553"/>
      <c r="BE109" s="1641"/>
      <c r="BF109" s="1641"/>
      <c r="BG109" s="1641"/>
      <c r="BH109" s="1641"/>
      <c r="BI109" s="1641"/>
      <c r="BJ109" s="1169">
        <v>0</v>
      </c>
    </row>
    <row s="1375" customFormat="1" customHeight="1" ht="22.5">
      <c r="A110" s="2380"/>
      <c r="C110" s="1645"/>
      <c r="D110" s="1647"/>
      <c r="E110" s="555" t="str">
        <f>FHD_NUM_P_70</f>
        <v>11</v>
      </c>
      <c r="F110" s="188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6" t="s">
        <v>662</v>
      </c>
      <c r="H110" s="566"/>
      <c r="I110" s="566"/>
      <c r="J110" s="566"/>
      <c r="K110" s="566"/>
      <c r="L110" s="566"/>
      <c r="M110" s="566"/>
      <c r="N110" s="566"/>
      <c r="O110" s="566"/>
      <c r="P110" s="566"/>
      <c r="Q110" s="566"/>
      <c r="R110" s="566"/>
      <c r="S110" s="566"/>
      <c r="T110" s="566"/>
      <c r="U110" s="566"/>
      <c r="V110" s="566"/>
      <c r="W110" s="566"/>
      <c r="X110" s="566"/>
      <c r="Y110" s="566"/>
      <c r="Z110" s="566"/>
      <c r="AA110" s="566"/>
      <c r="AB110" s="566"/>
      <c r="AC110" s="566"/>
      <c r="AD110" s="566"/>
      <c r="AE110" s="566"/>
      <c r="AF110" s="566"/>
      <c r="AG110" s="566"/>
      <c r="AH110" s="566"/>
      <c r="AI110" s="566"/>
      <c r="AJ110" s="566"/>
      <c r="AK110" s="566"/>
      <c r="AL110" s="566"/>
      <c r="AM110" s="566"/>
      <c r="AN110" s="298" t="str">
        <f>FHD_NOTE_P_70</f>
        <v/>
      </c>
      <c r="AO110" s="552"/>
      <c r="AP110" s="1645"/>
      <c r="AQ110" s="1645"/>
      <c r="AV110" s="1645"/>
      <c r="AY110" s="553"/>
      <c r="BE110" s="1641"/>
      <c r="BF110" s="1641"/>
      <c r="BG110" s="1641"/>
      <c r="BH110" s="1641"/>
      <c r="BI110" s="1641"/>
      <c r="BJ110" s="1169">
        <v>0</v>
      </c>
    </row>
    <row s="1375" customFormat="1" customHeight="1" ht="22.5">
      <c r="A111" s="2380"/>
      <c r="C111" s="1645"/>
      <c r="D111" s="1647"/>
      <c r="E111" s="555" t="str">
        <f>FHD_NUM_P_71</f>
        <v>12</v>
      </c>
      <c r="F111" s="1889" t="str">
        <f>FHD_P_71</f>
        <v>Фактический объем потерь при передаче тепловой энергии</v>
      </c>
      <c r="G111" s="1886" t="s">
        <v>662</v>
      </c>
      <c r="H111" s="566"/>
      <c r="I111" s="566"/>
      <c r="J111" s="566"/>
      <c r="K111" s="566"/>
      <c r="L111" s="566"/>
      <c r="M111" s="566"/>
      <c r="N111" s="566"/>
      <c r="O111" s="566"/>
      <c r="P111" s="566"/>
      <c r="Q111" s="566"/>
      <c r="R111" s="566"/>
      <c r="S111" s="566"/>
      <c r="T111" s="566"/>
      <c r="U111" s="566"/>
      <c r="V111" s="566"/>
      <c r="W111" s="566"/>
      <c r="X111" s="566"/>
      <c r="Y111" s="566"/>
      <c r="Z111" s="566"/>
      <c r="AA111" s="566"/>
      <c r="AB111" s="566"/>
      <c r="AC111" s="566"/>
      <c r="AD111" s="566"/>
      <c r="AE111" s="566"/>
      <c r="AF111" s="566"/>
      <c r="AG111" s="566"/>
      <c r="AH111" s="566"/>
      <c r="AI111" s="566"/>
      <c r="AJ111" s="566"/>
      <c r="AK111" s="566"/>
      <c r="AL111" s="566"/>
      <c r="AM111" s="566"/>
      <c r="AN111" s="298" t="str">
        <f>FHD_NOTE_P_71</f>
        <v/>
      </c>
      <c r="AO111" s="552"/>
      <c r="AP111" s="1645"/>
      <c r="AQ111" s="1645"/>
      <c r="AV111" s="1645"/>
      <c r="AY111" s="553"/>
      <c r="BE111" s="1641"/>
      <c r="BF111" s="1641"/>
      <c r="BG111" s="1641"/>
      <c r="BH111" s="1641"/>
      <c r="BI111" s="1641"/>
      <c r="BJ111" s="1169">
        <v>0</v>
      </c>
    </row>
    <row customHeight="1" ht="19.95">
      <c r="D112" s="1647"/>
      <c r="E112" s="555" t="str">
        <f>FHD_NUM_P_72</f>
        <v>13</v>
      </c>
      <c r="F112" s="1889" t="str">
        <f>FHD_P_72</f>
        <v>Среднесписочная численность основного производственного персонала</v>
      </c>
      <c r="G112" s="1885" t="s">
        <v>663</v>
      </c>
      <c r="H112" s="586"/>
      <c r="I112" s="586"/>
      <c r="J112" s="586"/>
      <c r="K112" s="586"/>
      <c r="L112" s="586"/>
      <c r="M112" s="586"/>
      <c r="N112" s="586"/>
      <c r="O112" s="586"/>
      <c r="P112" s="586"/>
      <c r="Q112" s="586"/>
      <c r="R112" s="586"/>
      <c r="S112" s="586"/>
      <c r="T112" s="586"/>
      <c r="U112" s="586"/>
      <c r="V112" s="586"/>
      <c r="W112" s="586"/>
      <c r="X112" s="586"/>
      <c r="Y112" s="586"/>
      <c r="Z112" s="586"/>
      <c r="AA112" s="586"/>
      <c r="AB112" s="586"/>
      <c r="AC112" s="586"/>
      <c r="AD112" s="586"/>
      <c r="AE112" s="586"/>
      <c r="AF112" s="586"/>
      <c r="AG112" s="586"/>
      <c r="AH112" s="586"/>
      <c r="AI112" s="586"/>
      <c r="AJ112" s="586"/>
      <c r="AK112" s="586"/>
      <c r="AL112" s="586"/>
      <c r="AM112" s="586"/>
      <c r="AN112" s="298" t="str">
        <f>FHD_NOTE_P_72</f>
        <v/>
      </c>
      <c r="AO112" s="552"/>
      <c r="BJ112" s="1640">
        <v>19</v>
      </c>
    </row>
    <row customHeight="1" ht="18.75">
      <c r="A113" s="998" t="s">
        <v>664</v>
      </c>
      <c r="D113" s="1647"/>
      <c r="E113" s="555" t="str">
        <f>FHD_NUM_P_73</f>
        <v>14</v>
      </c>
      <c r="F113" s="1889" t="str">
        <f>FHD_P_73</f>
        <v>Среднесписочная численность административно-управленческого персонала</v>
      </c>
      <c r="G113" s="979" t="s">
        <v>663</v>
      </c>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c r="AL113" s="977"/>
      <c r="AM113" s="977"/>
      <c r="AN113" s="298" t="str">
        <f>FHD_NOTE_P_73</f>
        <v/>
      </c>
      <c r="AO113" s="552"/>
      <c r="BJ113" s="1640">
        <v>0</v>
      </c>
    </row>
    <row customHeight="1" ht="33.75" hidden="1">
      <c r="A114" s="998" t="s">
        <v>665</v>
      </c>
      <c r="D114" s="1647"/>
      <c r="E114" s="555" t="str">
        <f>FHD_NUM_P_74</f>
        <v/>
      </c>
      <c r="F114" s="1889" t="str">
        <f>FHD_P_74</f>
        <v/>
      </c>
      <c r="G114" s="1885" t="s">
        <v>666</v>
      </c>
      <c r="H114" s="586"/>
      <c r="I114" s="586"/>
      <c r="J114" s="586"/>
      <c r="K114" s="586"/>
      <c r="L114" s="586"/>
      <c r="M114" s="586"/>
      <c r="N114" s="586"/>
      <c r="O114" s="586"/>
      <c r="P114" s="586"/>
      <c r="Q114" s="586"/>
      <c r="R114" s="586"/>
      <c r="S114" s="586"/>
      <c r="T114" s="586"/>
      <c r="U114" s="586"/>
      <c r="V114" s="586"/>
      <c r="W114" s="586"/>
      <c r="X114" s="586"/>
      <c r="Y114" s="586"/>
      <c r="Z114" s="586"/>
      <c r="AA114" s="586"/>
      <c r="AB114" s="586"/>
      <c r="AC114" s="586"/>
      <c r="AD114" s="586"/>
      <c r="AE114" s="586"/>
      <c r="AF114" s="586"/>
      <c r="AG114" s="586"/>
      <c r="AH114" s="586"/>
      <c r="AI114" s="586"/>
      <c r="AJ114" s="586"/>
      <c r="AK114" s="586"/>
      <c r="AL114" s="586"/>
      <c r="AM114" s="586"/>
      <c r="AN114" s="298" t="str">
        <f>FHD_NOTE_P_74</f>
        <v/>
      </c>
      <c r="AO114" s="552"/>
      <c r="BJ114" s="1640">
        <v>0</v>
      </c>
    </row>
    <row s="1644" customFormat="1" customHeight="1" ht="18.75" hidden="1">
      <c r="A115" s="2382" t="s">
        <v>667</v>
      </c>
      <c r="B115" s="919"/>
      <c r="C115" s="744"/>
      <c r="D115" s="742"/>
      <c r="E115" s="555" t="str">
        <f>FHD_NUM_P_75</f>
        <v/>
      </c>
      <c r="F115" s="1889" t="str">
        <f>FHD_P_75</f>
        <v/>
      </c>
      <c r="G115" s="1885" t="s">
        <v>631</v>
      </c>
      <c r="H115" s="566"/>
      <c r="I115" s="566"/>
      <c r="J115" s="566"/>
      <c r="K115" s="566"/>
      <c r="L115" s="566"/>
      <c r="M115" s="566"/>
      <c r="N115" s="566"/>
      <c r="O115" s="566"/>
      <c r="P115" s="566"/>
      <c r="Q115" s="566"/>
      <c r="R115" s="566"/>
      <c r="S115" s="566"/>
      <c r="T115" s="566"/>
      <c r="U115" s="566"/>
      <c r="V115" s="566"/>
      <c r="W115" s="566"/>
      <c r="X115" s="566"/>
      <c r="Y115" s="566"/>
      <c r="Z115" s="566"/>
      <c r="AA115" s="566"/>
      <c r="AB115" s="566"/>
      <c r="AC115" s="566"/>
      <c r="AD115" s="566"/>
      <c r="AE115" s="566"/>
      <c r="AF115" s="566"/>
      <c r="AG115" s="566"/>
      <c r="AH115" s="566"/>
      <c r="AI115" s="566"/>
      <c r="AJ115" s="566"/>
      <c r="AK115" s="566"/>
      <c r="AL115" s="566"/>
      <c r="AM115" s="566"/>
      <c r="AN115" s="298" t="str">
        <f>FHD_NOTE_P_75</f>
        <v/>
      </c>
      <c r="AO115" s="743"/>
      <c r="AP115" s="744"/>
      <c r="AQ115" s="744"/>
      <c r="AR115" s="919"/>
      <c r="AS115" s="919"/>
      <c r="AT115" s="919"/>
      <c r="AU115" s="919"/>
      <c r="AV115" s="744"/>
      <c r="AW115" s="919"/>
      <c r="AX115" s="919"/>
      <c r="AY115" s="745"/>
      <c r="AZ115" s="919"/>
      <c r="BA115" s="919"/>
      <c r="BB115" s="919"/>
      <c r="BC115" s="919"/>
      <c r="BD115" s="919"/>
      <c r="BE115" s="746"/>
      <c r="BF115" s="746"/>
      <c r="BG115" s="746"/>
      <c r="BH115" s="746"/>
      <c r="BI115" s="746"/>
      <c r="BJ115" s="748">
        <v>0</v>
      </c>
    </row>
    <row s="1644" customFormat="1" customHeight="1" ht="18.75" hidden="1">
      <c r="A116" s="2382"/>
      <c r="B116" s="919"/>
      <c r="C116" s="744"/>
      <c r="D116" s="742"/>
      <c r="E116" s="555" t="str">
        <f>FHD_NUM_P_76</f>
        <v/>
      </c>
      <c r="F116" s="1889" t="str">
        <f>FHD_P_76</f>
        <v/>
      </c>
      <c r="G116" s="1885" t="s">
        <v>631</v>
      </c>
      <c r="H116" s="566"/>
      <c r="I116" s="566"/>
      <c r="J116" s="566"/>
      <c r="K116" s="566"/>
      <c r="L116" s="566"/>
      <c r="M116" s="566"/>
      <c r="N116" s="566"/>
      <c r="O116" s="566"/>
      <c r="P116" s="566"/>
      <c r="Q116" s="566"/>
      <c r="R116" s="566"/>
      <c r="S116" s="566"/>
      <c r="T116" s="566"/>
      <c r="U116" s="566"/>
      <c r="V116" s="566"/>
      <c r="W116" s="566"/>
      <c r="X116" s="566"/>
      <c r="Y116" s="566"/>
      <c r="Z116" s="566"/>
      <c r="AA116" s="566"/>
      <c r="AB116" s="566"/>
      <c r="AC116" s="566"/>
      <c r="AD116" s="566"/>
      <c r="AE116" s="566"/>
      <c r="AF116" s="566"/>
      <c r="AG116" s="566"/>
      <c r="AH116" s="566"/>
      <c r="AI116" s="566"/>
      <c r="AJ116" s="566"/>
      <c r="AK116" s="566"/>
      <c r="AL116" s="566"/>
      <c r="AM116" s="566"/>
      <c r="AN116" s="298" t="str">
        <f>FHD_NOTE_P_76</f>
        <v/>
      </c>
      <c r="AO116" s="743"/>
      <c r="AP116" s="744"/>
      <c r="AQ116" s="744"/>
      <c r="AR116" s="919"/>
      <c r="AS116" s="919"/>
      <c r="AT116" s="919"/>
      <c r="AU116" s="919"/>
      <c r="AV116" s="744"/>
      <c r="AW116" s="919"/>
      <c r="AX116" s="919"/>
      <c r="AY116" s="745"/>
      <c r="AZ116" s="919"/>
      <c r="BA116" s="919"/>
      <c r="BB116" s="919"/>
      <c r="BC116" s="919"/>
      <c r="BD116" s="919"/>
      <c r="BE116" s="746"/>
      <c r="BF116" s="746"/>
      <c r="BG116" s="746"/>
      <c r="BH116" s="746"/>
      <c r="BI116" s="746"/>
      <c r="BJ116" s="748">
        <v>0</v>
      </c>
    </row>
    <row s="1644" customFormat="1" customHeight="1" ht="18.75" hidden="1">
      <c r="A117" s="2382"/>
      <c r="B117" s="919"/>
      <c r="C117" s="744"/>
      <c r="D117" s="742"/>
      <c r="E117" s="555" t="str">
        <f>FHD_NUM_P_77</f>
        <v/>
      </c>
      <c r="F117" s="1889" t="str">
        <f>FHD_P_77</f>
        <v/>
      </c>
      <c r="G117" s="1885" t="s">
        <v>631</v>
      </c>
      <c r="H117" s="566"/>
      <c r="I117" s="566"/>
      <c r="J117" s="566"/>
      <c r="K117" s="566"/>
      <c r="L117" s="566"/>
      <c r="M117" s="566"/>
      <c r="N117" s="566"/>
      <c r="O117" s="566"/>
      <c r="P117" s="566"/>
      <c r="Q117" s="566"/>
      <c r="R117" s="566"/>
      <c r="S117" s="566"/>
      <c r="T117" s="566"/>
      <c r="U117" s="566"/>
      <c r="V117" s="566"/>
      <c r="W117" s="566"/>
      <c r="X117" s="566"/>
      <c r="Y117" s="566"/>
      <c r="Z117" s="566"/>
      <c r="AA117" s="566"/>
      <c r="AB117" s="566"/>
      <c r="AC117" s="566"/>
      <c r="AD117" s="566"/>
      <c r="AE117" s="566"/>
      <c r="AF117" s="566"/>
      <c r="AG117" s="566"/>
      <c r="AH117" s="566"/>
      <c r="AI117" s="566"/>
      <c r="AJ117" s="566"/>
      <c r="AK117" s="566"/>
      <c r="AL117" s="566"/>
      <c r="AM117" s="566"/>
      <c r="AN117" s="298" t="str">
        <f>FHD_NOTE_P_77</f>
        <v/>
      </c>
      <c r="AO117" s="743"/>
      <c r="AP117" s="744"/>
      <c r="AQ117" s="744"/>
      <c r="AR117" s="919"/>
      <c r="AS117" s="919"/>
      <c r="AT117" s="919"/>
      <c r="AU117" s="919"/>
      <c r="AV117" s="744"/>
      <c r="AW117" s="919"/>
      <c r="AX117" s="919"/>
      <c r="AY117" s="745"/>
      <c r="AZ117" s="919"/>
      <c r="BA117" s="919"/>
      <c r="BB117" s="919"/>
      <c r="BC117" s="919"/>
      <c r="BD117" s="919"/>
      <c r="BE117" s="746"/>
      <c r="BF117" s="746"/>
      <c r="BG117" s="746"/>
      <c r="BH117" s="746"/>
      <c r="BI117" s="746"/>
      <c r="BJ117" s="748">
        <v>0</v>
      </c>
    </row>
    <row s="1651" customFormat="1" customHeight="1" ht="0.75" hidden="1">
      <c r="A118" s="2382"/>
      <c r="D118" s="557"/>
      <c r="E118" s="1022" t="str">
        <f>E117&amp;".0"</f>
        <v>.0</v>
      </c>
      <c r="F118" s="1006"/>
      <c r="G118" s="1660"/>
      <c r="H118" s="1001"/>
      <c r="I118" s="1001"/>
      <c r="J118" s="1001"/>
      <c r="K118" s="1001"/>
      <c r="L118" s="1001"/>
      <c r="M118" s="1001"/>
      <c r="N118" s="1001"/>
      <c r="O118" s="1001"/>
      <c r="P118" s="1001"/>
      <c r="Q118" s="1001"/>
      <c r="R118" s="1001"/>
      <c r="S118" s="1001"/>
      <c r="T118" s="1001"/>
      <c r="U118" s="1001"/>
      <c r="V118" s="1001"/>
      <c r="W118" s="1001"/>
      <c r="X118" s="1001"/>
      <c r="Y118" s="1001"/>
      <c r="Z118" s="1001"/>
      <c r="AA118" s="1001"/>
      <c r="AB118" s="1001"/>
      <c r="AC118" s="1001"/>
      <c r="AD118" s="1001"/>
      <c r="AE118" s="1001"/>
      <c r="AF118" s="1001"/>
      <c r="AG118" s="1001"/>
      <c r="AH118" s="1001"/>
      <c r="AI118" s="1001"/>
      <c r="AJ118" s="1001"/>
      <c r="AK118" s="1001"/>
      <c r="AL118" s="1001"/>
      <c r="AM118" s="1001"/>
      <c r="AN118" s="1005"/>
      <c r="BJ118" s="1645">
        <v>0</v>
      </c>
    </row>
    <row s="1644" customFormat="1" customHeight="1" ht="15" hidden="1">
      <c r="A119" s="2382"/>
      <c r="B119" s="919"/>
      <c r="C119" s="744"/>
      <c r="D119" s="755"/>
      <c r="E119" s="982"/>
      <c r="F119" s="983" t="s">
        <v>668</v>
      </c>
      <c r="G119" s="756"/>
      <c r="H119" s="757"/>
      <c r="I119" s="757"/>
      <c r="J119" s="2722"/>
      <c r="K119" s="2723"/>
      <c r="L119" s="2724"/>
      <c r="M119" s="2725"/>
      <c r="N119" s="2726"/>
      <c r="O119" s="2727"/>
      <c r="P119" s="2728"/>
      <c r="Q119" s="2729"/>
      <c r="R119" s="2730"/>
      <c r="S119" s="2731"/>
      <c r="T119" s="2732"/>
      <c r="U119" s="2733"/>
      <c r="V119" s="2734"/>
      <c r="W119" s="2735"/>
      <c r="X119" s="2736"/>
      <c r="Y119" s="2737"/>
      <c r="Z119" s="2738"/>
      <c r="AA119" s="2739"/>
      <c r="AB119" s="2740"/>
      <c r="AC119" s="2741"/>
      <c r="AD119" s="2742"/>
      <c r="AE119" s="2743"/>
      <c r="AF119" s="2744"/>
      <c r="AG119" s="2745"/>
      <c r="AH119" s="2746"/>
      <c r="AI119" s="2747"/>
      <c r="AJ119" s="2748"/>
      <c r="AK119" s="3142"/>
      <c r="AL119" s="3143"/>
      <c r="AM119" s="3144"/>
      <c r="AN119" s="1012" t="s">
        <v>669</v>
      </c>
      <c r="AO119" s="743"/>
      <c r="AP119" s="744"/>
      <c r="AQ119" s="744"/>
      <c r="AR119" s="919"/>
      <c r="AS119" s="919"/>
      <c r="AT119" s="919"/>
      <c r="AU119" s="919"/>
      <c r="AV119" s="744"/>
      <c r="AW119" s="919"/>
      <c r="AX119" s="919"/>
      <c r="AY119" s="745"/>
      <c r="AZ119" s="919"/>
      <c r="BA119" s="919"/>
      <c r="BB119" s="919"/>
      <c r="BC119" s="919"/>
      <c r="BD119" s="919"/>
      <c r="BE119" s="746"/>
      <c r="BF119" s="746"/>
      <c r="BG119" s="746"/>
      <c r="BH119" s="746"/>
      <c r="BI119" s="746"/>
      <c r="BJ119" s="748">
        <v>0</v>
      </c>
    </row>
    <row customHeight="1" ht="22.5">
      <c r="A120" s="2380" t="s">
        <v>670</v>
      </c>
      <c r="D120" s="1647"/>
      <c r="E120" s="555" t="str">
        <f>FHD_NUM_P_78</f>
        <v>15</v>
      </c>
      <c r="F120" s="188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6" t="s">
        <v>633</v>
      </c>
      <c r="H120" s="586"/>
      <c r="I120" s="586"/>
      <c r="J120" s="586"/>
      <c r="K120" s="586"/>
      <c r="L120" s="586"/>
      <c r="M120" s="586"/>
      <c r="N120" s="586"/>
      <c r="O120" s="586"/>
      <c r="P120" s="586"/>
      <c r="Q120" s="586"/>
      <c r="R120" s="586"/>
      <c r="S120" s="586"/>
      <c r="T120" s="586"/>
      <c r="U120" s="586"/>
      <c r="V120" s="586"/>
      <c r="W120" s="586"/>
      <c r="X120" s="586"/>
      <c r="Y120" s="586"/>
      <c r="Z120" s="586"/>
      <c r="AA120" s="586"/>
      <c r="AB120" s="586"/>
      <c r="AC120" s="586"/>
      <c r="AD120" s="586"/>
      <c r="AE120" s="586"/>
      <c r="AF120" s="586"/>
      <c r="AG120" s="586"/>
      <c r="AH120" s="586"/>
      <c r="AI120" s="586"/>
      <c r="AJ120" s="586"/>
      <c r="AK120" s="586"/>
      <c r="AL120" s="586"/>
      <c r="AM120" s="586"/>
      <c r="AN120" s="298" t="str">
        <f>FHD_NOTE_P_78</f>
        <v/>
      </c>
      <c r="AO120" s="552"/>
      <c r="BJ120" s="1640">
        <v>0</v>
      </c>
    </row>
    <row s="1651" customFormat="1" customHeight="1" ht="0.75">
      <c r="A121" s="2380"/>
      <c r="D121" s="557"/>
      <c r="E121" s="1022" t="str">
        <f>E120&amp;".0"</f>
        <v>15.0</v>
      </c>
      <c r="F121" s="1006"/>
      <c r="G121" s="1660"/>
      <c r="H121" s="1001"/>
      <c r="I121" s="1001"/>
      <c r="J121" s="1001"/>
      <c r="K121" s="1001"/>
      <c r="L121" s="1001"/>
      <c r="M121" s="1001"/>
      <c r="N121" s="1001"/>
      <c r="O121" s="1001"/>
      <c r="P121" s="1001"/>
      <c r="Q121" s="1001"/>
      <c r="R121" s="1001"/>
      <c r="S121" s="1001"/>
      <c r="T121" s="1001"/>
      <c r="U121" s="1001"/>
      <c r="V121" s="1001"/>
      <c r="W121" s="1001"/>
      <c r="X121" s="1001"/>
      <c r="Y121" s="1001"/>
      <c r="Z121" s="1001"/>
      <c r="AA121" s="1001"/>
      <c r="AB121" s="1001"/>
      <c r="AC121" s="1001"/>
      <c r="AD121" s="1001"/>
      <c r="AE121" s="1001"/>
      <c r="AF121" s="1001"/>
      <c r="AG121" s="1001"/>
      <c r="AH121" s="1001"/>
      <c r="AI121" s="1001"/>
      <c r="AJ121" s="1001"/>
      <c r="AK121" s="1001"/>
      <c r="AL121" s="1001"/>
      <c r="AM121" s="1001"/>
      <c r="AN121" s="1005"/>
      <c r="BJ121" s="1645">
        <v>0</v>
      </c>
    </row>
    <row customHeight="1" ht="15">
      <c r="A122" s="2380"/>
      <c r="D122" s="1642"/>
      <c r="E122" s="579"/>
      <c r="F122" s="1177" t="s">
        <v>659</v>
      </c>
      <c r="G122" s="581"/>
      <c r="H122" s="582"/>
      <c r="I122" s="582"/>
      <c r="J122" s="2749"/>
      <c r="K122" s="2750"/>
      <c r="L122" s="2751"/>
      <c r="M122" s="2752"/>
      <c r="N122" s="2753"/>
      <c r="O122" s="2754"/>
      <c r="P122" s="2755"/>
      <c r="Q122" s="2756"/>
      <c r="R122" s="2757"/>
      <c r="S122" s="2758"/>
      <c r="T122" s="2759"/>
      <c r="U122" s="2760"/>
      <c r="V122" s="2761"/>
      <c r="W122" s="2762"/>
      <c r="X122" s="2763"/>
      <c r="Y122" s="2764"/>
      <c r="Z122" s="2765"/>
      <c r="AA122" s="2766"/>
      <c r="AB122" s="2767"/>
      <c r="AC122" s="2768"/>
      <c r="AD122" s="2769"/>
      <c r="AE122" s="2770"/>
      <c r="AF122" s="2771"/>
      <c r="AG122" s="2772"/>
      <c r="AH122" s="2773"/>
      <c r="AI122" s="2774"/>
      <c r="AJ122" s="2775"/>
      <c r="AK122" s="3145"/>
      <c r="AL122" s="3146"/>
      <c r="AM122" s="3147"/>
      <c r="AN122" s="1013" t="s">
        <v>671</v>
      </c>
      <c r="AO122" s="552"/>
      <c r="BJ122" s="1640">
        <v>0</v>
      </c>
    </row>
    <row customHeight="1" ht="22.5">
      <c r="A123" s="2380"/>
      <c r="D123" s="1647"/>
      <c r="E123" s="555" t="str">
        <f>FHD_NUM_P_79</f>
        <v>16</v>
      </c>
      <c r="F123" s="188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7" t="s">
        <v>635</v>
      </c>
      <c r="H123" s="586"/>
      <c r="I123" s="586"/>
      <c r="J123" s="586"/>
      <c r="K123" s="586"/>
      <c r="L123" s="586"/>
      <c r="M123" s="586"/>
      <c r="N123" s="586"/>
      <c r="O123" s="586"/>
      <c r="P123" s="586"/>
      <c r="Q123" s="586"/>
      <c r="R123" s="586"/>
      <c r="S123" s="586"/>
      <c r="T123" s="586"/>
      <c r="U123" s="586"/>
      <c r="V123" s="586"/>
      <c r="W123" s="586"/>
      <c r="X123" s="586"/>
      <c r="Y123" s="586"/>
      <c r="Z123" s="586"/>
      <c r="AA123" s="586"/>
      <c r="AB123" s="586"/>
      <c r="AC123" s="586"/>
      <c r="AD123" s="586"/>
      <c r="AE123" s="586"/>
      <c r="AF123" s="586"/>
      <c r="AG123" s="586"/>
      <c r="AH123" s="586"/>
      <c r="AI123" s="586"/>
      <c r="AJ123" s="586"/>
      <c r="AK123" s="586"/>
      <c r="AL123" s="586"/>
      <c r="AM123" s="586"/>
      <c r="AN123" s="29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AO123" s="552"/>
      <c r="BJ123" s="1640">
        <v>0</v>
      </c>
    </row>
    <row s="1651" customFormat="1" customHeight="1" ht="0.75">
      <c r="A124" s="2380"/>
      <c r="D124" s="557"/>
      <c r="E124" s="1022" t="str">
        <f>E123&amp;".0"</f>
        <v>16.0</v>
      </c>
      <c r="F124" s="1007"/>
      <c r="G124" s="1660"/>
      <c r="H124" s="1001"/>
      <c r="I124" s="1001"/>
      <c r="J124" s="1001"/>
      <c r="K124" s="1001"/>
      <c r="L124" s="1001"/>
      <c r="M124" s="1001"/>
      <c r="N124" s="1001"/>
      <c r="O124" s="1001"/>
      <c r="P124" s="1001"/>
      <c r="Q124" s="1001"/>
      <c r="R124" s="1001"/>
      <c r="S124" s="1001"/>
      <c r="T124" s="1001"/>
      <c r="U124" s="1001"/>
      <c r="V124" s="1001"/>
      <c r="W124" s="1001"/>
      <c r="X124" s="1001"/>
      <c r="Y124" s="1001"/>
      <c r="Z124" s="1001"/>
      <c r="AA124" s="1001"/>
      <c r="AB124" s="1001"/>
      <c r="AC124" s="1001"/>
      <c r="AD124" s="1001"/>
      <c r="AE124" s="1001"/>
      <c r="AF124" s="1001"/>
      <c r="AG124" s="1001"/>
      <c r="AH124" s="1001"/>
      <c r="AI124" s="1001"/>
      <c r="AJ124" s="1001"/>
      <c r="AK124" s="1001"/>
      <c r="AL124" s="1001"/>
      <c r="AM124" s="1001"/>
      <c r="AN124" s="1005"/>
      <c r="BJ124" s="1645">
        <v>0</v>
      </c>
    </row>
    <row customHeight="1" ht="15">
      <c r="A125" s="2380"/>
      <c r="D125" s="1642"/>
      <c r="E125" s="579"/>
      <c r="F125" s="1177" t="s">
        <v>659</v>
      </c>
      <c r="G125" s="581"/>
      <c r="H125" s="582"/>
      <c r="I125" s="582"/>
      <c r="J125" s="2776"/>
      <c r="K125" s="2777"/>
      <c r="L125" s="2778"/>
      <c r="M125" s="2779"/>
      <c r="N125" s="2780"/>
      <c r="O125" s="2781"/>
      <c r="P125" s="2782"/>
      <c r="Q125" s="2783"/>
      <c r="R125" s="2784"/>
      <c r="S125" s="2785"/>
      <c r="T125" s="2786"/>
      <c r="U125" s="2787"/>
      <c r="V125" s="2788"/>
      <c r="W125" s="2789"/>
      <c r="X125" s="2790"/>
      <c r="Y125" s="2791"/>
      <c r="Z125" s="2792"/>
      <c r="AA125" s="2793"/>
      <c r="AB125" s="2794"/>
      <c r="AC125" s="2795"/>
      <c r="AD125" s="2796"/>
      <c r="AE125" s="2797"/>
      <c r="AF125" s="2798"/>
      <c r="AG125" s="2799"/>
      <c r="AH125" s="2800"/>
      <c r="AI125" s="2801"/>
      <c r="AJ125" s="2802"/>
      <c r="AK125" s="3148"/>
      <c r="AL125" s="3149"/>
      <c r="AM125" s="3150"/>
      <c r="AN125" s="1013" t="s">
        <v>672</v>
      </c>
      <c r="AO125" s="552"/>
      <c r="BJ125" s="1640">
        <v>0</v>
      </c>
    </row>
    <row customHeight="1" ht="22.5">
      <c r="A126" s="2380"/>
      <c r="D126" s="1647"/>
      <c r="E126" s="555" t="str">
        <f>FHD_NUM_P_80</f>
        <v>17</v>
      </c>
      <c r="F126" s="188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7" t="s">
        <v>673</v>
      </c>
      <c r="H126" s="566"/>
      <c r="I126" s="566"/>
      <c r="J126" s="566"/>
      <c r="K126" s="566"/>
      <c r="L126" s="566"/>
      <c r="M126" s="566"/>
      <c r="N126" s="566"/>
      <c r="O126" s="566"/>
      <c r="P126" s="566"/>
      <c r="Q126" s="566"/>
      <c r="R126" s="566"/>
      <c r="S126" s="566"/>
      <c r="T126" s="566"/>
      <c r="U126" s="566"/>
      <c r="V126" s="566"/>
      <c r="W126" s="566"/>
      <c r="X126" s="566"/>
      <c r="Y126" s="566"/>
      <c r="Z126" s="566"/>
      <c r="AA126" s="566"/>
      <c r="AB126" s="566"/>
      <c r="AC126" s="566"/>
      <c r="AD126" s="566"/>
      <c r="AE126" s="566"/>
      <c r="AF126" s="566"/>
      <c r="AG126" s="566"/>
      <c r="AH126" s="566"/>
      <c r="AI126" s="566"/>
      <c r="AJ126" s="566"/>
      <c r="AK126" s="566"/>
      <c r="AL126" s="566"/>
      <c r="AM126" s="566"/>
      <c r="AN126" s="298" t="str">
        <f>FHD_NOTE_P_80</f>
        <v>Регулируемыми организациями указывается информация с по договорам, заключенным в рамках осуществления регулируемой деятельности.</v>
      </c>
      <c r="AO126" s="552"/>
      <c r="BJ126" s="1640">
        <v>0</v>
      </c>
    </row>
    <row customHeight="1" ht="18.75">
      <c r="A127" s="2380"/>
      <c r="D127" s="1647"/>
      <c r="E127" s="555" t="str">
        <f>FHD_NUM_P_81</f>
        <v>18</v>
      </c>
      <c r="F127" s="188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7" t="s">
        <v>674</v>
      </c>
      <c r="H127" s="566"/>
      <c r="I127" s="566"/>
      <c r="J127" s="566"/>
      <c r="K127" s="566"/>
      <c r="L127" s="566"/>
      <c r="M127" s="566"/>
      <c r="N127" s="566"/>
      <c r="O127" s="566"/>
      <c r="P127" s="566"/>
      <c r="Q127" s="566"/>
      <c r="R127" s="566"/>
      <c r="S127" s="566"/>
      <c r="T127" s="566"/>
      <c r="U127" s="566"/>
      <c r="V127" s="566"/>
      <c r="W127" s="566"/>
      <c r="X127" s="566"/>
      <c r="Y127" s="566"/>
      <c r="Z127" s="566"/>
      <c r="AA127" s="566"/>
      <c r="AB127" s="566"/>
      <c r="AC127" s="566"/>
      <c r="AD127" s="566"/>
      <c r="AE127" s="566"/>
      <c r="AF127" s="566"/>
      <c r="AG127" s="566"/>
      <c r="AH127" s="566"/>
      <c r="AI127" s="566"/>
      <c r="AJ127" s="566"/>
      <c r="AK127" s="566"/>
      <c r="AL127" s="566"/>
      <c r="AM127" s="566"/>
      <c r="AN127" s="298" t="str">
        <f>FHD_NOTE_P_81</f>
        <v>Регулируемыми организациями указывается информация с по договорам, заключенным в рамках осуществления регулируемой деятельности.</v>
      </c>
      <c r="AO127" s="552"/>
      <c r="BJ127" s="1640">
        <v>0</v>
      </c>
    </row>
    <row customHeight="1" ht="18.75">
      <c r="A128" s="2380"/>
      <c r="C128" s="1645" t="s">
        <v>661</v>
      </c>
      <c r="D128" s="1647"/>
      <c r="E128" s="555" t="str">
        <f>FHD_NUM_P_82</f>
        <v>19</v>
      </c>
      <c r="F128" s="188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7" t="s">
        <v>379</v>
      </c>
      <c r="H128" s="410"/>
      <c r="I128" s="410"/>
      <c r="J128" s="827"/>
      <c r="K128" s="827"/>
      <c r="L128" s="827"/>
      <c r="M128" s="827"/>
      <c r="N128" s="827"/>
      <c r="O128" s="827"/>
      <c r="P128" s="827"/>
      <c r="Q128" s="827"/>
      <c r="R128" s="827"/>
      <c r="S128" s="827"/>
      <c r="T128" s="827"/>
      <c r="U128" s="827"/>
      <c r="V128" s="827"/>
      <c r="W128" s="827"/>
      <c r="X128" s="827"/>
      <c r="Y128" s="827"/>
      <c r="Z128" s="827"/>
      <c r="AA128" s="827"/>
      <c r="AB128" s="827"/>
      <c r="AC128" s="827"/>
      <c r="AD128" s="827"/>
      <c r="AE128" s="827"/>
      <c r="AF128" s="827"/>
      <c r="AG128" s="827"/>
      <c r="AH128" s="827"/>
      <c r="AI128" s="827"/>
      <c r="AJ128" s="827"/>
      <c r="AK128" s="827"/>
      <c r="AL128" s="827"/>
      <c r="AM128" s="827"/>
      <c r="AN128" s="298" t="str">
        <f>FHD_NOTE_P_82</f>
        <v>Указывается ссылка на документ, предварительно загруженный в хранилище файлов ФГИС ЕИАС.</v>
      </c>
      <c r="AO128" s="552"/>
      <c r="BJ128" s="1640">
        <v>0</v>
      </c>
    </row>
    <row customHeight="1" ht="18.75">
      <c r="A129" s="2380"/>
      <c r="C129" s="1645" t="s">
        <v>661</v>
      </c>
      <c r="D129" s="1647"/>
      <c r="E129" s="555" t="str">
        <f>FHD_NUM_P_83</f>
        <v>19.1</v>
      </c>
      <c r="F129" s="1533" t="str">
        <f>FHD_P_83</f>
        <v>Информация о показателях физического износа объектов теплоснабжения</v>
      </c>
      <c r="G129" s="1887" t="s">
        <v>379</v>
      </c>
      <c r="H129" s="410"/>
      <c r="I129" s="410"/>
      <c r="J129" s="827"/>
      <c r="K129" s="827"/>
      <c r="L129" s="827"/>
      <c r="M129" s="827"/>
      <c r="N129" s="827"/>
      <c r="O129" s="827"/>
      <c r="P129" s="827"/>
      <c r="Q129" s="827"/>
      <c r="R129" s="827"/>
      <c r="S129" s="827"/>
      <c r="T129" s="827"/>
      <c r="U129" s="827"/>
      <c r="V129" s="827"/>
      <c r="W129" s="827"/>
      <c r="X129" s="827"/>
      <c r="Y129" s="827"/>
      <c r="Z129" s="827"/>
      <c r="AA129" s="827"/>
      <c r="AB129" s="827"/>
      <c r="AC129" s="827"/>
      <c r="AD129" s="827"/>
      <c r="AE129" s="827"/>
      <c r="AF129" s="827"/>
      <c r="AG129" s="827"/>
      <c r="AH129" s="827"/>
      <c r="AI129" s="827"/>
      <c r="AJ129" s="827"/>
      <c r="AK129" s="827"/>
      <c r="AL129" s="827"/>
      <c r="AM129" s="827"/>
      <c r="AN129" s="298" t="str">
        <f>FHD_NOTE_P_83</f>
        <v>Указывается ссылка на документ, предварительно загруженный в хранилище файлов ФГИС ЕИАС.</v>
      </c>
      <c r="AO129" s="552"/>
      <c r="BJ129" s="1640">
        <v>0</v>
      </c>
    </row>
    <row customHeight="1" ht="18.75">
      <c r="A130" s="2380"/>
      <c r="C130" s="1645" t="s">
        <v>661</v>
      </c>
      <c r="D130" s="1647"/>
      <c r="E130" s="555" t="str">
        <f>FHD_NUM_P_84</f>
        <v>19.2</v>
      </c>
      <c r="F130" s="1533" t="str">
        <f>FHD_P_84</f>
        <v>Информация о показателях энергетической эффективности объектов теплоснабжения</v>
      </c>
      <c r="G130" s="1887" t="s">
        <v>379</v>
      </c>
      <c r="H130" s="410"/>
      <c r="I130" s="410"/>
      <c r="J130" s="827"/>
      <c r="K130" s="827"/>
      <c r="L130" s="827"/>
      <c r="M130" s="827"/>
      <c r="N130" s="827"/>
      <c r="O130" s="827"/>
      <c r="P130" s="827"/>
      <c r="Q130" s="827"/>
      <c r="R130" s="827"/>
      <c r="S130" s="827"/>
      <c r="T130" s="827"/>
      <c r="U130" s="827"/>
      <c r="V130" s="827"/>
      <c r="W130" s="827"/>
      <c r="X130" s="827"/>
      <c r="Y130" s="827"/>
      <c r="Z130" s="827"/>
      <c r="AA130" s="827"/>
      <c r="AB130" s="827"/>
      <c r="AC130" s="827"/>
      <c r="AD130" s="827"/>
      <c r="AE130" s="827"/>
      <c r="AF130" s="827"/>
      <c r="AG130" s="827"/>
      <c r="AH130" s="827"/>
      <c r="AI130" s="827"/>
      <c r="AJ130" s="827"/>
      <c r="AK130" s="827"/>
      <c r="AL130" s="827"/>
      <c r="AM130" s="827"/>
      <c r="AN130" s="298" t="str">
        <f>FHD_NOTE_P_84</f>
        <v>Указывается ссылка на документ, предварительно загруженный в хранилище файлов ФГИС ЕИАС.</v>
      </c>
      <c r="AO130" s="552"/>
      <c r="BJ130" s="1640">
        <v>0</v>
      </c>
    </row>
    <row customHeight="1" ht="11.549999999999999">
      <c r="D131" s="1647"/>
      <c r="J131" s="1644"/>
      <c r="K131" s="1644"/>
      <c r="L131" s="1644"/>
      <c r="M131" s="1644"/>
      <c r="N131" s="1644"/>
      <c r="O131" s="1644"/>
      <c r="P131" s="1644"/>
      <c r="Q131" s="1644"/>
      <c r="R131" s="1644"/>
      <c r="S131" s="1644"/>
      <c r="T131" s="1644"/>
      <c r="U131" s="1644"/>
      <c r="V131" s="1644"/>
      <c r="W131" s="1644"/>
      <c r="X131" s="1644"/>
      <c r="Y131" s="1644"/>
      <c r="Z131" s="1644"/>
      <c r="AA131" s="1644"/>
      <c r="AB131" s="1644"/>
      <c r="AC131" s="1644"/>
      <c r="AD131" s="1644"/>
      <c r="AE131" s="1644"/>
      <c r="AF131" s="1644"/>
      <c r="AG131" s="1644"/>
      <c r="AH131" s="1644"/>
      <c r="AI131" s="1644"/>
      <c r="AJ131" s="1644"/>
      <c r="AK131" s="1644"/>
      <c r="AL131" s="1644"/>
      <c r="AM131" s="1644"/>
      <c r="BJ131" s="1640">
        <v>11</v>
      </c>
    </row>
    <row customHeight="1" ht="13.5">
      <c r="D132" s="1647"/>
      <c r="E132" s="345"/>
      <c r="F132" s="378"/>
      <c r="G132" s="378"/>
      <c r="H132" s="378"/>
      <c r="I132" s="1656"/>
      <c r="J132" s="1696"/>
      <c r="K132" s="1696"/>
      <c r="L132" s="1696"/>
      <c r="M132" s="1696"/>
      <c r="N132" s="1696"/>
      <c r="O132" s="1696"/>
      <c r="P132" s="1696"/>
      <c r="Q132" s="1696"/>
      <c r="R132" s="1696"/>
      <c r="S132" s="1696"/>
      <c r="T132" s="1696"/>
      <c r="U132" s="1696"/>
      <c r="V132" s="1696"/>
      <c r="W132" s="1696"/>
      <c r="X132" s="1696"/>
      <c r="Y132" s="1696"/>
      <c r="Z132" s="1696"/>
      <c r="AA132" s="1696"/>
      <c r="AB132" s="1696"/>
      <c r="AC132" s="1696"/>
      <c r="AD132" s="1696"/>
      <c r="AE132" s="1696"/>
      <c r="AF132" s="1696"/>
      <c r="AG132" s="1696"/>
      <c r="AH132" s="1696"/>
      <c r="AI132" s="1696"/>
      <c r="AJ132" s="1696"/>
      <c r="AK132" s="1696"/>
      <c r="AL132" s="1696"/>
      <c r="AM132" s="1696"/>
      <c r="AN132" s="590"/>
      <c r="BJ132" s="1640">
        <v>13</v>
      </c>
    </row>
    <row s="1650" customFormat="1" customHeight="1" ht="11.549999999999999">
      <c r="A133" s="996"/>
      <c r="B133" s="1645"/>
      <c r="C133" s="1645"/>
      <c r="D133" s="360"/>
      <c r="F133" s="1649"/>
      <c r="G133" s="1640"/>
      <c r="H133" s="1640"/>
      <c r="I133" s="1640"/>
      <c r="J133" s="1644"/>
      <c r="K133" s="1644"/>
      <c r="L133" s="1644"/>
      <c r="M133" s="1644"/>
      <c r="N133" s="1644"/>
      <c r="O133" s="1644"/>
      <c r="P133" s="1644"/>
      <c r="Q133" s="1644"/>
      <c r="R133" s="1644"/>
      <c r="S133" s="1644"/>
      <c r="T133" s="1644"/>
      <c r="U133" s="1644"/>
      <c r="V133" s="1644"/>
      <c r="W133" s="1644"/>
      <c r="X133" s="1644"/>
      <c r="Y133" s="1644"/>
      <c r="Z133" s="1644"/>
      <c r="AA133" s="1644"/>
      <c r="AB133" s="1644"/>
      <c r="AC133" s="1644"/>
      <c r="AD133" s="1644"/>
      <c r="AE133" s="1644"/>
      <c r="AF133" s="1644"/>
      <c r="AG133" s="1644"/>
      <c r="AH133" s="1644"/>
      <c r="AI133" s="1644"/>
      <c r="AJ133" s="1644"/>
      <c r="AK133" s="1644"/>
      <c r="AL133" s="1644"/>
      <c r="AM133" s="1644"/>
      <c r="AO133" s="1169"/>
      <c r="AP133" s="1645"/>
      <c r="AQ133" s="1645"/>
      <c r="AR133" s="1169"/>
      <c r="AS133" s="1169"/>
      <c r="AT133" s="1169"/>
      <c r="AU133" s="1169"/>
      <c r="AV133" s="1645"/>
      <c r="AW133" s="1169"/>
      <c r="AX133" s="1169"/>
      <c r="AY133" s="553"/>
      <c r="AZ133" s="1169"/>
      <c r="BA133" s="1169"/>
      <c r="BB133" s="1169"/>
      <c r="BC133" s="1169"/>
      <c r="BD133" s="1169"/>
      <c r="BE133" s="1641"/>
      <c r="BF133" s="575"/>
      <c r="BG133" s="575"/>
      <c r="BH133" s="575"/>
      <c r="BI133" s="575"/>
      <c r="BJ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O134" s="1169"/>
      <c r="AP134" s="1645"/>
      <c r="AQ134" s="1645"/>
      <c r="AR134" s="1169"/>
      <c r="AS134" s="1169"/>
      <c r="AT134" s="1169"/>
      <c r="AU134" s="1169"/>
      <c r="AV134" s="1645"/>
      <c r="AW134" s="1169"/>
      <c r="AX134" s="1169"/>
      <c r="AY134" s="553"/>
      <c r="AZ134" s="1169"/>
      <c r="BA134" s="1169"/>
      <c r="BB134" s="1169"/>
      <c r="BC134" s="1169"/>
      <c r="BD134" s="1169"/>
      <c r="BE134" s="1641"/>
      <c r="BF134" s="575"/>
      <c r="BG134" s="575"/>
      <c r="BH134" s="575"/>
      <c r="BI134" s="575"/>
      <c r="BJ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O135" s="1169"/>
      <c r="AP135" s="1645"/>
      <c r="AQ135" s="1645"/>
      <c r="AR135" s="1169"/>
      <c r="AS135" s="1169"/>
      <c r="AT135" s="1169"/>
      <c r="AU135" s="1169"/>
      <c r="AV135" s="1645"/>
      <c r="AW135" s="1169"/>
      <c r="AX135" s="1169"/>
      <c r="AY135" s="553"/>
      <c r="AZ135" s="1169"/>
      <c r="BA135" s="1169"/>
      <c r="BB135" s="1169"/>
      <c r="BC135" s="1169"/>
      <c r="BD135" s="1169"/>
      <c r="BE135" s="1641"/>
      <c r="BF135" s="575"/>
      <c r="BG135" s="575"/>
      <c r="BH135" s="575"/>
      <c r="BI135" s="575"/>
      <c r="BJ135" s="1650">
        <v>11</v>
      </c>
    </row>
    <row s="1650" customFormat="1" customHeight="1" ht="11.549999999999999">
      <c r="A136" s="996"/>
      <c r="B136" s="1645"/>
      <c r="C136" s="1645"/>
      <c r="D136" s="360"/>
      <c r="H136" s="575" t="str">
        <f>IF(H30-H31&lt;&gt;H72,"WARNING","")</f>
        <v/>
      </c>
      <c r="I136" s="575" t="str">
        <f>IF(I30-I31&lt;&gt;I72,"WARNING","")</f>
        <v/>
      </c>
      <c r="J136" s="631" t="str">
        <f>IF(J30-J31&lt;&gt;J72,"WARNING","")</f>
        <v/>
      </c>
      <c r="K136" s="631" t="str">
        <f>IF(K30-K31&lt;&gt;K72,"WARNING","")</f>
        <v/>
      </c>
      <c r="L136" s="631" t="str">
        <f>IF(L30-L31&lt;&gt;L72,"WARNING","")</f>
        <v/>
      </c>
      <c r="M136" s="631" t="str">
        <f>IF(M30-M31&lt;&gt;M72,"WARNING","")</f>
        <v/>
      </c>
      <c r="N136" s="631" t="str">
        <f>IF(N30-N31&lt;&gt;N72,"WARNING","")</f>
        <v/>
      </c>
      <c r="O136" s="631" t="str">
        <f>IF(O30-O31&lt;&gt;O72,"WARNING","")</f>
        <v/>
      </c>
      <c r="P136" s="631" t="str">
        <f>IF(P30-P31&lt;&gt;P72,"WARNING","")</f>
        <v/>
      </c>
      <c r="Q136" s="631" t="str">
        <f>IF(Q30-Q31&lt;&gt;Q72,"WARNING","")</f>
        <v/>
      </c>
      <c r="R136" s="631" t="str">
        <f>IF(R30-R31&lt;&gt;R72,"WARNING","")</f>
        <v/>
      </c>
      <c r="S136" s="631" t="str">
        <f>IF(S30-S31&lt;&gt;S72,"WARNING","")</f>
        <v/>
      </c>
      <c r="T136" s="631" t="str">
        <f>IF(T30-T31&lt;&gt;T72,"WARNING","")</f>
        <v/>
      </c>
      <c r="U136" s="631" t="str">
        <f>IF(U30-U31&lt;&gt;U72,"WARNING","")</f>
        <v/>
      </c>
      <c r="V136" s="631" t="str">
        <f>IF(V30-V31&lt;&gt;V72,"WARNING","")</f>
        <v/>
      </c>
      <c r="W136" s="631" t="str">
        <f>IF(W30-W31&lt;&gt;W72,"WARNING","")</f>
        <v/>
      </c>
      <c r="X136" s="631" t="str">
        <f>IF(X30-X31&lt;&gt;X72,"WARNING","")</f>
        <v/>
      </c>
      <c r="Y136" s="631" t="str">
        <f>IF(Y30-Y31&lt;&gt;Y72,"WARNING","")</f>
        <v/>
      </c>
      <c r="Z136" s="631" t="str">
        <f>IF(Z30-Z31&lt;&gt;Z72,"WARNING","")</f>
        <v/>
      </c>
      <c r="AA136" s="631" t="str">
        <f>IF(AA30-AA31&lt;&gt;AA72,"WARNING","")</f>
        <v/>
      </c>
      <c r="AB136" s="631" t="str">
        <f>IF(AB30-AB31&lt;&gt;AB72,"WARNING","")</f>
        <v/>
      </c>
      <c r="AC136" s="631" t="str">
        <f>IF(AC30-AC31&lt;&gt;AC72,"WARNING","")</f>
        <v/>
      </c>
      <c r="AD136" s="631" t="str">
        <f>IF(AD30-AD31&lt;&gt;AD72,"WARNING","")</f>
        <v/>
      </c>
      <c r="AE136" s="631" t="str">
        <f>IF(AE30-AE31&lt;&gt;AE72,"WARNING","")</f>
        <v/>
      </c>
      <c r="AF136" s="631" t="str">
        <f>IF(AF30-AF31&lt;&gt;AF72,"WARNING","")</f>
        <v/>
      </c>
      <c r="AG136" s="631" t="str">
        <f>IF(AG30-AG31&lt;&gt;AG72,"WARNING","")</f>
        <v/>
      </c>
      <c r="AH136" s="631" t="str">
        <f>IF(AH30-AH31&lt;&gt;AH72,"WARNING","")</f>
        <v/>
      </c>
      <c r="AI136" s="631" t="str">
        <f>IF(AI30-AI31&lt;&gt;AI72,"WARNING","")</f>
        <v/>
      </c>
      <c r="AJ136" s="631" t="str">
        <f>IF(AJ30-AJ31&lt;&gt;AJ72,"WARNING","")</f>
        <v/>
      </c>
      <c r="AK136" s="631" t="str">
        <f>IF(AK30-AK31&lt;&gt;AK72,"WARNING","")</f>
        <v/>
      </c>
      <c r="AL136" s="631" t="str">
        <f>IF(AL30-AL31&lt;&gt;AL72,"WARNING","")</f>
        <v/>
      </c>
      <c r="AM136" s="631" t="str">
        <f>IF(AM30-AM31&lt;&gt;AM72,"WARNING","")</f>
        <v/>
      </c>
      <c r="AO136" s="1169"/>
      <c r="AP136" s="1645"/>
      <c r="AQ136" s="1645"/>
      <c r="AR136" s="1169"/>
      <c r="AS136" s="1169"/>
      <c r="AT136" s="1169"/>
      <c r="AU136" s="1169"/>
      <c r="AV136" s="1645"/>
      <c r="AW136" s="1169"/>
      <c r="AX136" s="1169"/>
      <c r="AY136" s="553"/>
      <c r="AZ136" s="1169"/>
      <c r="BA136" s="1169"/>
      <c r="BB136" s="1169"/>
      <c r="BC136" s="1169"/>
      <c r="BD136" s="1169"/>
      <c r="BE136" s="1641"/>
      <c r="BF136" s="575"/>
      <c r="BG136" s="575"/>
      <c r="BH136" s="575"/>
      <c r="BI136" s="575"/>
      <c r="BJ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O137" s="1169"/>
      <c r="AP137" s="1645"/>
      <c r="AQ137" s="1645"/>
      <c r="AR137" s="1169"/>
      <c r="AS137" s="1169"/>
      <c r="AT137" s="1169"/>
      <c r="AU137" s="1169"/>
      <c r="AV137" s="1645"/>
      <c r="AW137" s="1169"/>
      <c r="AX137" s="1169"/>
      <c r="AY137" s="553"/>
      <c r="AZ137" s="1169"/>
      <c r="BA137" s="1169"/>
      <c r="BB137" s="1169"/>
      <c r="BC137" s="1169"/>
      <c r="BD137" s="1169"/>
      <c r="BE137" s="1641"/>
      <c r="BF137" s="575"/>
      <c r="BG137" s="575"/>
      <c r="BH137" s="575"/>
      <c r="BI137" s="575"/>
      <c r="BJ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O138" s="1169"/>
      <c r="AP138" s="1645"/>
      <c r="AQ138" s="1645"/>
      <c r="AR138" s="1169"/>
      <c r="AS138" s="1169"/>
      <c r="AT138" s="1169"/>
      <c r="AU138" s="1169"/>
      <c r="AV138" s="1645"/>
      <c r="AW138" s="1169"/>
      <c r="AX138" s="1169"/>
      <c r="AY138" s="553"/>
      <c r="AZ138" s="1169"/>
      <c r="BA138" s="1169"/>
      <c r="BB138" s="1169"/>
      <c r="BC138" s="1169"/>
      <c r="BD138" s="1169"/>
      <c r="BE138" s="1641"/>
      <c r="BF138" s="575"/>
      <c r="BG138" s="575"/>
      <c r="BH138" s="575"/>
      <c r="BI138" s="575"/>
      <c r="BJ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O139" s="1169"/>
      <c r="AP139" s="1645"/>
      <c r="AQ139" s="1645"/>
      <c r="AR139" s="1169"/>
      <c r="AS139" s="1169"/>
      <c r="AT139" s="1169"/>
      <c r="AU139" s="1169"/>
      <c r="AV139" s="1645"/>
      <c r="AW139" s="1169"/>
      <c r="AX139" s="1169"/>
      <c r="AY139" s="553"/>
      <c r="AZ139" s="1169"/>
      <c r="BA139" s="1169"/>
      <c r="BB139" s="1169"/>
      <c r="BC139" s="1169"/>
      <c r="BD139" s="1169"/>
      <c r="BE139" s="1641"/>
      <c r="BF139" s="575"/>
      <c r="BG139" s="575"/>
      <c r="BH139" s="575"/>
      <c r="BI139" s="575"/>
      <c r="BJ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O140" s="1169"/>
      <c r="AP140" s="1645"/>
      <c r="AQ140" s="1645"/>
      <c r="AR140" s="1169"/>
      <c r="AS140" s="1169"/>
      <c r="AT140" s="1169"/>
      <c r="AU140" s="1169"/>
      <c r="AV140" s="1645"/>
      <c r="AW140" s="1169"/>
      <c r="AX140" s="1169"/>
      <c r="AY140" s="553"/>
      <c r="AZ140" s="1169"/>
      <c r="BA140" s="1169"/>
      <c r="BB140" s="1169"/>
      <c r="BC140" s="1169"/>
      <c r="BD140" s="1169"/>
      <c r="BE140" s="1641"/>
      <c r="BF140" s="575"/>
      <c r="BG140" s="575"/>
      <c r="BH140" s="575"/>
      <c r="BI140" s="575"/>
      <c r="BJ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O141" s="1169"/>
      <c r="AP141" s="1645"/>
      <c r="AQ141" s="1645"/>
      <c r="AR141" s="1169"/>
      <c r="AS141" s="1169"/>
      <c r="AT141" s="1169"/>
      <c r="AU141" s="1169"/>
      <c r="AV141" s="1645"/>
      <c r="AW141" s="1169"/>
      <c r="AX141" s="1169"/>
      <c r="AY141" s="553"/>
      <c r="AZ141" s="1169"/>
      <c r="BA141" s="1169"/>
      <c r="BB141" s="1169"/>
      <c r="BC141" s="1169"/>
      <c r="BD141" s="1169"/>
      <c r="BE141" s="1641"/>
      <c r="BF141" s="575"/>
      <c r="BG141" s="575"/>
      <c r="BH141" s="575"/>
      <c r="BI141" s="575"/>
      <c r="BJ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O142" s="1169"/>
      <c r="AP142" s="1645"/>
      <c r="AQ142" s="1645"/>
      <c r="AR142" s="1169"/>
      <c r="AS142" s="1169"/>
      <c r="AT142" s="1169"/>
      <c r="AU142" s="1169"/>
      <c r="AV142" s="1645"/>
      <c r="AW142" s="1169"/>
      <c r="AX142" s="1169"/>
      <c r="AY142" s="553"/>
      <c r="AZ142" s="1169"/>
      <c r="BA142" s="1169"/>
      <c r="BB142" s="1169"/>
      <c r="BC142" s="1169"/>
      <c r="BD142" s="1169"/>
      <c r="BE142" s="1641"/>
      <c r="BF142" s="575"/>
      <c r="BG142" s="575"/>
      <c r="BH142" s="575"/>
      <c r="BI142" s="575"/>
      <c r="BJ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O143" s="1169"/>
      <c r="AP143" s="1645"/>
      <c r="AQ143" s="1645"/>
      <c r="AR143" s="1169"/>
      <c r="AS143" s="1169"/>
      <c r="AT143" s="1169"/>
      <c r="AU143" s="1169"/>
      <c r="AV143" s="1645"/>
      <c r="AW143" s="1169"/>
      <c r="AX143" s="1169"/>
      <c r="AY143" s="553"/>
      <c r="AZ143" s="1169"/>
      <c r="BA143" s="1169"/>
      <c r="BB143" s="1169"/>
      <c r="BC143" s="1169"/>
      <c r="BD143" s="1169"/>
      <c r="BE143" s="1641"/>
      <c r="BF143" s="575"/>
      <c r="BG143" s="575"/>
      <c r="BH143" s="575"/>
      <c r="BI143" s="575"/>
      <c r="BJ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O144" s="1169"/>
      <c r="AP144" s="1645"/>
      <c r="AQ144" s="1645"/>
      <c r="AR144" s="1169"/>
      <c r="AS144" s="1169"/>
      <c r="AT144" s="1169"/>
      <c r="AU144" s="1169"/>
      <c r="AV144" s="1645"/>
      <c r="AW144" s="1169"/>
      <c r="AX144" s="1169"/>
      <c r="AY144" s="553"/>
      <c r="AZ144" s="1169"/>
      <c r="BA144" s="1169"/>
      <c r="BB144" s="1169"/>
      <c r="BC144" s="1169"/>
      <c r="BD144" s="1169"/>
      <c r="BE144" s="1641"/>
      <c r="BF144" s="575"/>
      <c r="BG144" s="575"/>
      <c r="BH144" s="575"/>
      <c r="BI144" s="575"/>
      <c r="BJ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O145" s="1169"/>
      <c r="AP145" s="1645"/>
      <c r="AQ145" s="1645"/>
      <c r="AR145" s="1169"/>
      <c r="AS145" s="1169"/>
      <c r="AT145" s="1169"/>
      <c r="AU145" s="1169"/>
      <c r="AV145" s="1645"/>
      <c r="AW145" s="1169"/>
      <c r="AX145" s="1169"/>
      <c r="AY145" s="553"/>
      <c r="AZ145" s="1169"/>
      <c r="BA145" s="1169"/>
      <c r="BB145" s="1169"/>
      <c r="BC145" s="1169"/>
      <c r="BD145" s="1169"/>
      <c r="BE145" s="1641"/>
      <c r="BF145" s="575"/>
      <c r="BG145" s="575"/>
      <c r="BH145" s="575"/>
      <c r="BI145" s="575"/>
      <c r="BJ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O146" s="1169"/>
      <c r="AP146" s="1645"/>
      <c r="AQ146" s="1645"/>
      <c r="AR146" s="1169"/>
      <c r="AS146" s="1169"/>
      <c r="AT146" s="1169"/>
      <c r="AU146" s="1169"/>
      <c r="AV146" s="1645"/>
      <c r="AW146" s="1169"/>
      <c r="AX146" s="1169"/>
      <c r="AY146" s="553"/>
      <c r="AZ146" s="1169"/>
      <c r="BA146" s="1169"/>
      <c r="BB146" s="1169"/>
      <c r="BC146" s="1169"/>
      <c r="BD146" s="1169"/>
      <c r="BE146" s="1641"/>
      <c r="BF146" s="575"/>
      <c r="BG146" s="575"/>
      <c r="BH146" s="575"/>
      <c r="BI146" s="575"/>
      <c r="BJ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O147" s="1169"/>
      <c r="AP147" s="1645"/>
      <c r="AQ147" s="1645"/>
      <c r="AR147" s="1169"/>
      <c r="AS147" s="1169"/>
      <c r="AT147" s="1169"/>
      <c r="AU147" s="1169"/>
      <c r="AV147" s="1645"/>
      <c r="AW147" s="1169"/>
      <c r="AX147" s="1169"/>
      <c r="AY147" s="553"/>
      <c r="AZ147" s="1169"/>
      <c r="BA147" s="1169"/>
      <c r="BB147" s="1169"/>
      <c r="BC147" s="1169"/>
      <c r="BD147" s="1169"/>
      <c r="BE147" s="1641"/>
      <c r="BF147" s="575"/>
      <c r="BG147" s="575"/>
      <c r="BH147" s="575"/>
      <c r="BI147" s="575"/>
      <c r="BJ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O148" s="1169"/>
      <c r="AP148" s="1645"/>
      <c r="AQ148" s="1645"/>
      <c r="AR148" s="1169"/>
      <c r="AS148" s="1169"/>
      <c r="AT148" s="1169"/>
      <c r="AU148" s="1169"/>
      <c r="AV148" s="1645"/>
      <c r="AW148" s="1169"/>
      <c r="AX148" s="1169"/>
      <c r="AY148" s="553"/>
      <c r="AZ148" s="1169"/>
      <c r="BA148" s="1169"/>
      <c r="BB148" s="1169"/>
      <c r="BC148" s="1169"/>
      <c r="BD148" s="1169"/>
      <c r="BE148" s="1641"/>
      <c r="BF148" s="575"/>
      <c r="BG148" s="575"/>
      <c r="BH148" s="575"/>
      <c r="BI148" s="575"/>
      <c r="BJ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O149" s="1169"/>
      <c r="AP149" s="1645"/>
      <c r="AQ149" s="1645"/>
      <c r="AR149" s="1169"/>
      <c r="AS149" s="1169"/>
      <c r="AT149" s="1169"/>
      <c r="AU149" s="1169"/>
      <c r="AV149" s="1645"/>
      <c r="AW149" s="1169"/>
      <c r="AX149" s="1169"/>
      <c r="AY149" s="553"/>
      <c r="AZ149" s="1169"/>
      <c r="BA149" s="1169"/>
      <c r="BB149" s="1169"/>
      <c r="BC149" s="1169"/>
      <c r="BD149" s="1169"/>
      <c r="BE149" s="1641"/>
      <c r="BF149" s="575"/>
      <c r="BG149" s="575"/>
      <c r="BH149" s="575"/>
      <c r="BI149" s="575"/>
      <c r="BJ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O150" s="1169"/>
      <c r="AP150" s="1645"/>
      <c r="AQ150" s="1645"/>
      <c r="AR150" s="1169"/>
      <c r="AS150" s="1169"/>
      <c r="AT150" s="1169"/>
      <c r="AU150" s="1169"/>
      <c r="AV150" s="1645"/>
      <c r="AW150" s="1169"/>
      <c r="AX150" s="1169"/>
      <c r="AY150" s="553"/>
      <c r="AZ150" s="1169"/>
      <c r="BA150" s="1169"/>
      <c r="BB150" s="1169"/>
      <c r="BC150" s="1169"/>
      <c r="BD150" s="1169"/>
      <c r="BE150" s="1641"/>
      <c r="BF150" s="575"/>
      <c r="BG150" s="575"/>
      <c r="BH150" s="575"/>
      <c r="BI150" s="575"/>
      <c r="BJ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O151" s="1169"/>
      <c r="AP151" s="1645"/>
      <c r="AQ151" s="1645"/>
      <c r="AR151" s="1169"/>
      <c r="AS151" s="1169"/>
      <c r="AT151" s="1169"/>
      <c r="AU151" s="1169"/>
      <c r="AV151" s="1645"/>
      <c r="AW151" s="1169"/>
      <c r="AX151" s="1169"/>
      <c r="AY151" s="553"/>
      <c r="AZ151" s="1169"/>
      <c r="BA151" s="1169"/>
      <c r="BB151" s="1169"/>
      <c r="BC151" s="1169"/>
      <c r="BD151" s="1169"/>
      <c r="BE151" s="1641"/>
      <c r="BF151" s="575"/>
      <c r="BG151" s="575"/>
      <c r="BH151" s="575"/>
      <c r="BI151" s="575"/>
      <c r="BJ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O152" s="1169"/>
      <c r="AP152" s="1645"/>
      <c r="AQ152" s="1645"/>
      <c r="AR152" s="1169"/>
      <c r="AS152" s="1169"/>
      <c r="AT152" s="1169"/>
      <c r="AU152" s="1169"/>
      <c r="AV152" s="1645"/>
      <c r="AW152" s="1169"/>
      <c r="AX152" s="1169"/>
      <c r="AY152" s="553"/>
      <c r="AZ152" s="1169"/>
      <c r="BA152" s="1169"/>
      <c r="BB152" s="1169"/>
      <c r="BC152" s="1169"/>
      <c r="BD152" s="1169"/>
      <c r="BE152" s="1641"/>
      <c r="BF152" s="575"/>
      <c r="BG152" s="575"/>
      <c r="BH152" s="575"/>
      <c r="BI152" s="575"/>
      <c r="BJ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O153" s="1169"/>
      <c r="AP153" s="1645"/>
      <c r="AQ153" s="1645"/>
      <c r="AR153" s="1169"/>
      <c r="AS153" s="1169"/>
      <c r="AT153" s="1169"/>
      <c r="AU153" s="1169"/>
      <c r="AV153" s="1645"/>
      <c r="AW153" s="1169"/>
      <c r="AX153" s="1169"/>
      <c r="AY153" s="553"/>
      <c r="AZ153" s="1169"/>
      <c r="BA153" s="1169"/>
      <c r="BB153" s="1169"/>
      <c r="BC153" s="1169"/>
      <c r="BD153" s="1169"/>
      <c r="BE153" s="1641"/>
      <c r="BF153" s="575"/>
      <c r="BG153" s="575"/>
      <c r="BH153" s="575"/>
      <c r="BI153" s="575"/>
      <c r="BJ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O154" s="1169"/>
      <c r="AP154" s="1645"/>
      <c r="AQ154" s="1645"/>
      <c r="AR154" s="1169"/>
      <c r="AS154" s="1169"/>
      <c r="AT154" s="1169"/>
      <c r="AU154" s="1169"/>
      <c r="AV154" s="1645"/>
      <c r="AW154" s="1169"/>
      <c r="AX154" s="1169"/>
      <c r="AY154" s="553"/>
      <c r="AZ154" s="1169"/>
      <c r="BA154" s="1169"/>
      <c r="BB154" s="1169"/>
      <c r="BC154" s="1169"/>
      <c r="BD154" s="1169"/>
      <c r="BE154" s="1641"/>
      <c r="BF154" s="575"/>
      <c r="BG154" s="575"/>
      <c r="BH154" s="575"/>
      <c r="BI154" s="575"/>
      <c r="BJ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O155" s="1169"/>
      <c r="AP155" s="1645"/>
      <c r="AQ155" s="1645"/>
      <c r="AR155" s="1169"/>
      <c r="AS155" s="1169"/>
      <c r="AT155" s="1169"/>
      <c r="AU155" s="1169"/>
      <c r="AV155" s="1645"/>
      <c r="AW155" s="1169"/>
      <c r="AX155" s="1169"/>
      <c r="AY155" s="553"/>
      <c r="AZ155" s="1169"/>
      <c r="BA155" s="1169"/>
      <c r="BB155" s="1169"/>
      <c r="BC155" s="1169"/>
      <c r="BD155" s="1169"/>
      <c r="BE155" s="1641"/>
      <c r="BF155" s="575"/>
      <c r="BG155" s="575"/>
      <c r="BH155" s="575"/>
      <c r="BI155" s="575"/>
      <c r="BJ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O156" s="1169"/>
      <c r="AP156" s="1645"/>
      <c r="AQ156" s="1645"/>
      <c r="AR156" s="1169"/>
      <c r="AS156" s="1169"/>
      <c r="AT156" s="1169"/>
      <c r="AU156" s="1169"/>
      <c r="AV156" s="1645"/>
      <c r="AW156" s="1169"/>
      <c r="AX156" s="1169"/>
      <c r="AY156" s="553"/>
      <c r="AZ156" s="1169"/>
      <c r="BA156" s="1169"/>
      <c r="BB156" s="1169"/>
      <c r="BC156" s="1169"/>
      <c r="BD156" s="1169"/>
      <c r="BE156" s="1641"/>
      <c r="BF156" s="575"/>
      <c r="BG156" s="575"/>
      <c r="BH156" s="575"/>
      <c r="BI156" s="575"/>
      <c r="BJ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O157" s="1169"/>
      <c r="AP157" s="1645"/>
      <c r="AQ157" s="1645"/>
      <c r="AR157" s="1169"/>
      <c r="AS157" s="1169"/>
      <c r="AT157" s="1169"/>
      <c r="AU157" s="1169"/>
      <c r="AV157" s="1645"/>
      <c r="AW157" s="1169"/>
      <c r="AX157" s="1169"/>
      <c r="AY157" s="553"/>
      <c r="AZ157" s="1169"/>
      <c r="BA157" s="1169"/>
      <c r="BB157" s="1169"/>
      <c r="BC157" s="1169"/>
      <c r="BD157" s="1169"/>
      <c r="BE157" s="1641"/>
      <c r="BF157" s="575"/>
      <c r="BG157" s="575"/>
      <c r="BH157" s="575"/>
      <c r="BI157" s="575"/>
      <c r="BJ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O158" s="1169"/>
      <c r="AP158" s="1645"/>
      <c r="AQ158" s="1645"/>
      <c r="AR158" s="1169"/>
      <c r="AS158" s="1169"/>
      <c r="AT158" s="1169"/>
      <c r="AU158" s="1169"/>
      <c r="AV158" s="1645"/>
      <c r="AW158" s="1169"/>
      <c r="AX158" s="1169"/>
      <c r="AY158" s="553"/>
      <c r="AZ158" s="1169"/>
      <c r="BA158" s="1169"/>
      <c r="BB158" s="1169"/>
      <c r="BC158" s="1169"/>
      <c r="BD158" s="1169"/>
      <c r="BE158" s="1641"/>
      <c r="BF158" s="575"/>
      <c r="BG158" s="575"/>
      <c r="BH158" s="575"/>
      <c r="BI158" s="575"/>
      <c r="BJ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O159" s="1169"/>
      <c r="AP159" s="1645"/>
      <c r="AQ159" s="1645"/>
      <c r="AR159" s="1169"/>
      <c r="AS159" s="1169"/>
      <c r="AT159" s="1169"/>
      <c r="AU159" s="1169"/>
      <c r="AV159" s="1645"/>
      <c r="AW159" s="1169"/>
      <c r="AX159" s="1169"/>
      <c r="AY159" s="553"/>
      <c r="AZ159" s="1169"/>
      <c r="BA159" s="1169"/>
      <c r="BB159" s="1169"/>
      <c r="BC159" s="1169"/>
      <c r="BD159" s="1169"/>
      <c r="BE159" s="1641"/>
      <c r="BF159" s="575"/>
      <c r="BG159" s="575"/>
      <c r="BH159" s="575"/>
      <c r="BI159" s="575"/>
      <c r="BJ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O160" s="1169"/>
      <c r="AP160" s="1645"/>
      <c r="AQ160" s="1645"/>
      <c r="AR160" s="1169"/>
      <c r="AS160" s="1169"/>
      <c r="AT160" s="1169"/>
      <c r="AU160" s="1169"/>
      <c r="AV160" s="1645"/>
      <c r="AW160" s="1169"/>
      <c r="AX160" s="1169"/>
      <c r="AY160" s="553"/>
      <c r="AZ160" s="1169"/>
      <c r="BA160" s="1169"/>
      <c r="BB160" s="1169"/>
      <c r="BC160" s="1169"/>
      <c r="BD160" s="1169"/>
      <c r="BE160" s="1641"/>
      <c r="BF160" s="575"/>
      <c r="BG160" s="575"/>
      <c r="BH160" s="575"/>
      <c r="BI160" s="575"/>
      <c r="BJ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O161" s="1169"/>
      <c r="AP161" s="1645"/>
      <c r="AQ161" s="1645"/>
      <c r="AR161" s="1169"/>
      <c r="AS161" s="1169"/>
      <c r="AT161" s="1169"/>
      <c r="AU161" s="1169"/>
      <c r="AV161" s="1645"/>
      <c r="AW161" s="1169"/>
      <c r="AX161" s="1169"/>
      <c r="AY161" s="553"/>
      <c r="AZ161" s="1169"/>
      <c r="BA161" s="1169"/>
      <c r="BB161" s="1169"/>
      <c r="BC161" s="1169"/>
      <c r="BD161" s="1169"/>
      <c r="BE161" s="1641"/>
      <c r="BF161" s="575"/>
      <c r="BG161" s="575"/>
      <c r="BH161" s="575"/>
      <c r="BI161" s="575"/>
      <c r="BJ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O162" s="1169"/>
      <c r="AP162" s="1645"/>
      <c r="AQ162" s="1645"/>
      <c r="AR162" s="1169"/>
      <c r="AS162" s="1169"/>
      <c r="AT162" s="1169"/>
      <c r="AU162" s="1169"/>
      <c r="AV162" s="1645"/>
      <c r="AW162" s="1169"/>
      <c r="AX162" s="1169"/>
      <c r="AY162" s="553"/>
      <c r="AZ162" s="1169"/>
      <c r="BA162" s="1169"/>
      <c r="BB162" s="1169"/>
      <c r="BC162" s="1169"/>
      <c r="BD162" s="1169"/>
      <c r="BE162" s="1641"/>
      <c r="BF162" s="575"/>
      <c r="BG162" s="575"/>
      <c r="BH162" s="575"/>
      <c r="BI162" s="575"/>
      <c r="BJ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O163" s="1169"/>
      <c r="AP163" s="1645"/>
      <c r="AQ163" s="1645"/>
      <c r="AR163" s="1169"/>
      <c r="AS163" s="1169"/>
      <c r="AT163" s="1169"/>
      <c r="AU163" s="1169"/>
      <c r="AV163" s="1645"/>
      <c r="AW163" s="1169"/>
      <c r="AX163" s="1169"/>
      <c r="AY163" s="553"/>
      <c r="AZ163" s="1169"/>
      <c r="BA163" s="1169"/>
      <c r="BB163" s="1169"/>
      <c r="BC163" s="1169"/>
      <c r="BD163" s="1169"/>
      <c r="BE163" s="1641"/>
      <c r="BF163" s="575"/>
      <c r="BG163" s="575"/>
      <c r="BH163" s="575"/>
      <c r="BI163" s="575"/>
      <c r="BJ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O164" s="1169"/>
      <c r="AP164" s="1645"/>
      <c r="AQ164" s="1645"/>
      <c r="AR164" s="1169"/>
      <c r="AS164" s="1169"/>
      <c r="AT164" s="1169"/>
      <c r="AU164" s="1169"/>
      <c r="AV164" s="1645"/>
      <c r="AW164" s="1169"/>
      <c r="AX164" s="1169"/>
      <c r="AY164" s="553"/>
      <c r="AZ164" s="1169"/>
      <c r="BA164" s="1169"/>
      <c r="BB164" s="1169"/>
      <c r="BC164" s="1169"/>
      <c r="BD164" s="1169"/>
      <c r="BE164" s="1641"/>
      <c r="BF164" s="575"/>
      <c r="BG164" s="575"/>
      <c r="BH164" s="575"/>
      <c r="BI164" s="575"/>
      <c r="BJ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O165" s="1169"/>
      <c r="AP165" s="1645"/>
      <c r="AQ165" s="1645"/>
      <c r="AR165" s="1169"/>
      <c r="AS165" s="1169"/>
      <c r="AT165" s="1169"/>
      <c r="AU165" s="1169"/>
      <c r="AV165" s="1645"/>
      <c r="AW165" s="1169"/>
      <c r="AX165" s="1169"/>
      <c r="AY165" s="553"/>
      <c r="AZ165" s="1169"/>
      <c r="BA165" s="1169"/>
      <c r="BB165" s="1169"/>
      <c r="BC165" s="1169"/>
      <c r="BD165" s="1169"/>
      <c r="BE165" s="1641"/>
      <c r="BF165" s="575"/>
      <c r="BG165" s="575"/>
      <c r="BH165" s="575"/>
      <c r="BI165" s="575"/>
      <c r="BJ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O166" s="1169"/>
      <c r="AP166" s="1645"/>
      <c r="AQ166" s="1645"/>
      <c r="AR166" s="1169"/>
      <c r="AS166" s="1169"/>
      <c r="AT166" s="1169"/>
      <c r="AU166" s="1169"/>
      <c r="AV166" s="1645"/>
      <c r="AW166" s="1169"/>
      <c r="AX166" s="1169"/>
      <c r="AY166" s="553"/>
      <c r="AZ166" s="1169"/>
      <c r="BA166" s="1169"/>
      <c r="BB166" s="1169"/>
      <c r="BC166" s="1169"/>
      <c r="BD166" s="1169"/>
      <c r="BE166" s="1641"/>
      <c r="BF166" s="575"/>
      <c r="BG166" s="575"/>
      <c r="BH166" s="575"/>
      <c r="BI166" s="575"/>
      <c r="BJ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O167" s="1169"/>
      <c r="AP167" s="1645"/>
      <c r="AQ167" s="1645"/>
      <c r="AR167" s="1169"/>
      <c r="AS167" s="1169"/>
      <c r="AT167" s="1169"/>
      <c r="AU167" s="1169"/>
      <c r="AV167" s="1645"/>
      <c r="AW167" s="1169"/>
      <c r="AX167" s="1169"/>
      <c r="AY167" s="553"/>
      <c r="AZ167" s="1169"/>
      <c r="BA167" s="1169"/>
      <c r="BB167" s="1169"/>
      <c r="BC167" s="1169"/>
      <c r="BD167" s="1169"/>
      <c r="BE167" s="1641"/>
      <c r="BF167" s="575"/>
      <c r="BG167" s="575"/>
      <c r="BH167" s="575"/>
      <c r="BI167" s="575"/>
      <c r="BJ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O168" s="1169"/>
      <c r="AP168" s="1645"/>
      <c r="AQ168" s="1645"/>
      <c r="AR168" s="1169"/>
      <c r="AS168" s="1169"/>
      <c r="AT168" s="1169"/>
      <c r="AU168" s="1169"/>
      <c r="AV168" s="1645"/>
      <c r="AW168" s="1169"/>
      <c r="AX168" s="1169"/>
      <c r="AY168" s="553"/>
      <c r="AZ168" s="1169"/>
      <c r="BA168" s="1169"/>
      <c r="BB168" s="1169"/>
      <c r="BC168" s="1169"/>
      <c r="BD168" s="1169"/>
      <c r="BE168" s="1641"/>
      <c r="BF168" s="575"/>
      <c r="BG168" s="575"/>
      <c r="BH168" s="575"/>
      <c r="BI168" s="575"/>
      <c r="BJ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O169" s="1169"/>
      <c r="AP169" s="1645"/>
      <c r="AQ169" s="1645"/>
      <c r="AR169" s="1169"/>
      <c r="AS169" s="1169"/>
      <c r="AT169" s="1169"/>
      <c r="AU169" s="1169"/>
      <c r="AV169" s="1645"/>
      <c r="AW169" s="1169"/>
      <c r="AX169" s="1169"/>
      <c r="AY169" s="553"/>
      <c r="AZ169" s="1169"/>
      <c r="BA169" s="1169"/>
      <c r="BB169" s="1169"/>
      <c r="BC169" s="1169"/>
      <c r="BD169" s="1169"/>
      <c r="BE169" s="1641"/>
      <c r="BF169" s="575"/>
      <c r="BG169" s="575"/>
      <c r="BH169" s="575"/>
      <c r="BI169" s="575"/>
      <c r="BJ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O170" s="1169"/>
      <c r="AP170" s="1645"/>
      <c r="AQ170" s="1645"/>
      <c r="AR170" s="1169"/>
      <c r="AS170" s="1169"/>
      <c r="AT170" s="1169"/>
      <c r="AU170" s="1169"/>
      <c r="AV170" s="1645"/>
      <c r="AW170" s="1169"/>
      <c r="AX170" s="1169"/>
      <c r="AY170" s="553"/>
      <c r="AZ170" s="1169"/>
      <c r="BA170" s="1169"/>
      <c r="BB170" s="1169"/>
      <c r="BC170" s="1169"/>
      <c r="BD170" s="1169"/>
      <c r="BE170" s="1641"/>
      <c r="BF170" s="575"/>
      <c r="BG170" s="575"/>
      <c r="BH170" s="575"/>
      <c r="BI170" s="575"/>
      <c r="BJ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O171" s="1169"/>
      <c r="AP171" s="1645"/>
      <c r="AQ171" s="1645"/>
      <c r="AR171" s="1169"/>
      <c r="AS171" s="1169"/>
      <c r="AT171" s="1169"/>
      <c r="AU171" s="1169"/>
      <c r="AV171" s="1645"/>
      <c r="AW171" s="1169"/>
      <c r="AX171" s="1169"/>
      <c r="AY171" s="553"/>
      <c r="AZ171" s="1169"/>
      <c r="BA171" s="1169"/>
      <c r="BB171" s="1169"/>
      <c r="BC171" s="1169"/>
      <c r="BD171" s="1169"/>
      <c r="BE171" s="1641"/>
      <c r="BF171" s="575"/>
      <c r="BG171" s="575"/>
      <c r="BH171" s="575"/>
      <c r="BI171" s="575"/>
      <c r="BJ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O172" s="1169"/>
      <c r="AP172" s="1645"/>
      <c r="AQ172" s="1645"/>
      <c r="AR172" s="1169"/>
      <c r="AS172" s="1169"/>
      <c r="AT172" s="1169"/>
      <c r="AU172" s="1169"/>
      <c r="AV172" s="1645"/>
      <c r="AW172" s="1169"/>
      <c r="AX172" s="1169"/>
      <c r="AY172" s="553"/>
      <c r="AZ172" s="1169"/>
      <c r="BA172" s="1169"/>
      <c r="BB172" s="1169"/>
      <c r="BC172" s="1169"/>
      <c r="BD172" s="1169"/>
      <c r="BE172" s="1641"/>
      <c r="BF172" s="575"/>
      <c r="BG172" s="575"/>
      <c r="BH172" s="575"/>
      <c r="BI172" s="575"/>
      <c r="BJ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O173" s="1169"/>
      <c r="AP173" s="1645"/>
      <c r="AQ173" s="1645"/>
      <c r="AR173" s="1169"/>
      <c r="AS173" s="1169"/>
      <c r="AT173" s="1169"/>
      <c r="AU173" s="1169"/>
      <c r="AV173" s="1645"/>
      <c r="AW173" s="1169"/>
      <c r="AX173" s="1169"/>
      <c r="AY173" s="553"/>
      <c r="AZ173" s="1169"/>
      <c r="BA173" s="1169"/>
      <c r="BB173" s="1169"/>
      <c r="BC173" s="1169"/>
      <c r="BD173" s="1169"/>
      <c r="BE173" s="1641"/>
      <c r="BF173" s="575"/>
      <c r="BG173" s="575"/>
      <c r="BH173" s="575"/>
      <c r="BI173" s="575"/>
      <c r="BJ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O174" s="1169"/>
      <c r="AP174" s="1645"/>
      <c r="AQ174" s="1645"/>
      <c r="AR174" s="1169"/>
      <c r="AS174" s="1169"/>
      <c r="AT174" s="1169"/>
      <c r="AU174" s="1169"/>
      <c r="AV174" s="1645"/>
      <c r="AW174" s="1169"/>
      <c r="AX174" s="1169"/>
      <c r="AY174" s="553"/>
      <c r="AZ174" s="1169"/>
      <c r="BA174" s="1169"/>
      <c r="BB174" s="1169"/>
      <c r="BC174" s="1169"/>
      <c r="BD174" s="1169"/>
      <c r="BE174" s="1641"/>
      <c r="BF174" s="575"/>
      <c r="BG174" s="575"/>
      <c r="BH174" s="575"/>
      <c r="BI174" s="575"/>
      <c r="BJ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O175" s="1169"/>
      <c r="AP175" s="1645"/>
      <c r="AQ175" s="1645"/>
      <c r="AR175" s="1169"/>
      <c r="AS175" s="1169"/>
      <c r="AT175" s="1169"/>
      <c r="AU175" s="1169"/>
      <c r="AV175" s="1645"/>
      <c r="AW175" s="1169"/>
      <c r="AX175" s="1169"/>
      <c r="AY175" s="553"/>
      <c r="AZ175" s="1169"/>
      <c r="BA175" s="1169"/>
      <c r="BB175" s="1169"/>
      <c r="BC175" s="1169"/>
      <c r="BD175" s="1169"/>
      <c r="BE175" s="1641"/>
      <c r="BF175" s="575"/>
      <c r="BG175" s="575"/>
      <c r="BH175" s="575"/>
      <c r="BI175" s="575"/>
      <c r="BJ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O176" s="1169"/>
      <c r="AP176" s="1645"/>
      <c r="AQ176" s="1645"/>
      <c r="AR176" s="1169"/>
      <c r="AS176" s="1169"/>
      <c r="AT176" s="1169"/>
      <c r="AU176" s="1169"/>
      <c r="AV176" s="1645"/>
      <c r="AW176" s="1169"/>
      <c r="AX176" s="1169"/>
      <c r="AY176" s="553"/>
      <c r="AZ176" s="1169"/>
      <c r="BA176" s="1169"/>
      <c r="BB176" s="1169"/>
      <c r="BC176" s="1169"/>
      <c r="BD176" s="1169"/>
      <c r="BE176" s="1641"/>
      <c r="BF176" s="575"/>
      <c r="BG176" s="575"/>
      <c r="BH176" s="575"/>
      <c r="BI176" s="575"/>
      <c r="BJ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O177" s="1169"/>
      <c r="AP177" s="1645"/>
      <c r="AQ177" s="1645"/>
      <c r="AR177" s="1169"/>
      <c r="AS177" s="1169"/>
      <c r="AT177" s="1169"/>
      <c r="AU177" s="1169"/>
      <c r="AV177" s="1645"/>
      <c r="AW177" s="1169"/>
      <c r="AX177" s="1169"/>
      <c r="AY177" s="553"/>
      <c r="AZ177" s="1169"/>
      <c r="BA177" s="1169"/>
      <c r="BB177" s="1169"/>
      <c r="BC177" s="1169"/>
      <c r="BD177" s="1169"/>
      <c r="BE177" s="1641"/>
      <c r="BF177" s="575"/>
      <c r="BG177" s="575"/>
      <c r="BH177" s="575"/>
      <c r="BI177" s="575"/>
      <c r="BJ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O178" s="1169"/>
      <c r="AP178" s="1645"/>
      <c r="AQ178" s="1645"/>
      <c r="AR178" s="1169"/>
      <c r="AS178" s="1169"/>
      <c r="AT178" s="1169"/>
      <c r="AU178" s="1169"/>
      <c r="AV178" s="1645"/>
      <c r="AW178" s="1169"/>
      <c r="AX178" s="1169"/>
      <c r="AY178" s="553"/>
      <c r="AZ178" s="1169"/>
      <c r="BA178" s="1169"/>
      <c r="BB178" s="1169"/>
      <c r="BC178" s="1169"/>
      <c r="BD178" s="1169"/>
      <c r="BE178" s="1641"/>
      <c r="BF178" s="575"/>
      <c r="BG178" s="575"/>
      <c r="BH178" s="575"/>
      <c r="BI178" s="575"/>
      <c r="BJ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O179" s="1169"/>
      <c r="AP179" s="1645"/>
      <c r="AQ179" s="1645"/>
      <c r="AR179" s="1169"/>
      <c r="AS179" s="1169"/>
      <c r="AT179" s="1169"/>
      <c r="AU179" s="1169"/>
      <c r="AV179" s="1645"/>
      <c r="AW179" s="1169"/>
      <c r="AX179" s="1169"/>
      <c r="AY179" s="553"/>
      <c r="AZ179" s="1169"/>
      <c r="BA179" s="1169"/>
      <c r="BB179" s="1169"/>
      <c r="BC179" s="1169"/>
      <c r="BD179" s="1169"/>
      <c r="BE179" s="1641"/>
      <c r="BF179" s="575"/>
      <c r="BG179" s="575"/>
      <c r="BH179" s="575"/>
      <c r="BI179" s="575"/>
      <c r="BJ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O180" s="1169"/>
      <c r="AP180" s="1645"/>
      <c r="AQ180" s="1645"/>
      <c r="AR180" s="1169"/>
      <c r="AS180" s="1169"/>
      <c r="AT180" s="1169"/>
      <c r="AU180" s="1169"/>
      <c r="AV180" s="1645"/>
      <c r="AW180" s="1169"/>
      <c r="AX180" s="1169"/>
      <c r="AY180" s="553"/>
      <c r="AZ180" s="1169"/>
      <c r="BA180" s="1169"/>
      <c r="BB180" s="1169"/>
      <c r="BC180" s="1169"/>
      <c r="BD180" s="1169"/>
      <c r="BE180" s="1641"/>
      <c r="BF180" s="575"/>
      <c r="BG180" s="575"/>
      <c r="BH180" s="575"/>
      <c r="BI180" s="575"/>
      <c r="BJ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O181" s="1169"/>
      <c r="AP181" s="1645"/>
      <c r="AQ181" s="1645"/>
      <c r="AR181" s="1169"/>
      <c r="AS181" s="1169"/>
      <c r="AT181" s="1169"/>
      <c r="AU181" s="1169"/>
      <c r="AV181" s="1645"/>
      <c r="AW181" s="1169"/>
      <c r="AX181" s="1169"/>
      <c r="AY181" s="553"/>
      <c r="AZ181" s="1169"/>
      <c r="BA181" s="1169"/>
      <c r="BB181" s="1169"/>
      <c r="BC181" s="1169"/>
      <c r="BD181" s="1169"/>
      <c r="BE181" s="1641"/>
      <c r="BF181" s="575"/>
      <c r="BG181" s="575"/>
      <c r="BH181" s="575"/>
      <c r="BI181" s="575"/>
      <c r="BJ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O182" s="1169"/>
      <c r="AP182" s="1645"/>
      <c r="AQ182" s="1645"/>
      <c r="AR182" s="1169"/>
      <c r="AS182" s="1169"/>
      <c r="AT182" s="1169"/>
      <c r="AU182" s="1169"/>
      <c r="AV182" s="1645"/>
      <c r="AW182" s="1169"/>
      <c r="AX182" s="1169"/>
      <c r="AY182" s="553"/>
      <c r="AZ182" s="1169"/>
      <c r="BA182" s="1169"/>
      <c r="BB182" s="1169"/>
      <c r="BC182" s="1169"/>
      <c r="BD182" s="1169"/>
      <c r="BE182" s="1641"/>
      <c r="BF182" s="575"/>
      <c r="BG182" s="575"/>
      <c r="BH182" s="575"/>
      <c r="BI182" s="575"/>
      <c r="BJ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O183" s="1169"/>
      <c r="AP183" s="1645"/>
      <c r="AQ183" s="1645"/>
      <c r="AR183" s="1169"/>
      <c r="AS183" s="1169"/>
      <c r="AT183" s="1169"/>
      <c r="AU183" s="1169"/>
      <c r="AV183" s="1645"/>
      <c r="AW183" s="1169"/>
      <c r="AX183" s="1169"/>
      <c r="AY183" s="553"/>
      <c r="AZ183" s="1169"/>
      <c r="BA183" s="1169"/>
      <c r="BB183" s="1169"/>
      <c r="BC183" s="1169"/>
      <c r="BD183" s="1169"/>
      <c r="BE183" s="1641"/>
      <c r="BF183" s="575"/>
      <c r="BG183" s="575"/>
      <c r="BH183" s="575"/>
      <c r="BI183" s="575"/>
      <c r="BJ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O184" s="1169"/>
      <c r="AP184" s="1645"/>
      <c r="AQ184" s="1645"/>
      <c r="AR184" s="1169"/>
      <c r="AS184" s="1169"/>
      <c r="AT184" s="1169"/>
      <c r="AU184" s="1169"/>
      <c r="AV184" s="1645"/>
      <c r="AW184" s="1169"/>
      <c r="AX184" s="1169"/>
      <c r="AY184" s="553"/>
      <c r="AZ184" s="1169"/>
      <c r="BA184" s="1169"/>
      <c r="BB184" s="1169"/>
      <c r="BC184" s="1169"/>
      <c r="BD184" s="1169"/>
      <c r="BE184" s="1641"/>
      <c r="BF184" s="575"/>
      <c r="BG184" s="575"/>
      <c r="BH184" s="575"/>
      <c r="BI184" s="575"/>
      <c r="BJ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O185" s="1169"/>
      <c r="AP185" s="1645"/>
      <c r="AQ185" s="1645"/>
      <c r="AR185" s="1169"/>
      <c r="AS185" s="1169"/>
      <c r="AT185" s="1169"/>
      <c r="AU185" s="1169"/>
      <c r="AV185" s="1645"/>
      <c r="AW185" s="1169"/>
      <c r="AX185" s="1169"/>
      <c r="AY185" s="553"/>
      <c r="AZ185" s="1169"/>
      <c r="BA185" s="1169"/>
      <c r="BB185" s="1169"/>
      <c r="BC185" s="1169"/>
      <c r="BD185" s="1169"/>
      <c r="BE185" s="1641"/>
      <c r="BF185" s="575"/>
      <c r="BG185" s="575"/>
      <c r="BH185" s="575"/>
      <c r="BI185" s="575"/>
      <c r="BJ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O186" s="1169"/>
      <c r="AP186" s="1645"/>
      <c r="AQ186" s="1645"/>
      <c r="AR186" s="1169"/>
      <c r="AS186" s="1169"/>
      <c r="AT186" s="1169"/>
      <c r="AU186" s="1169"/>
      <c r="AV186" s="1645"/>
      <c r="AW186" s="1169"/>
      <c r="AX186" s="1169"/>
      <c r="AY186" s="553"/>
      <c r="AZ186" s="1169"/>
      <c r="BA186" s="1169"/>
      <c r="BB186" s="1169"/>
      <c r="BC186" s="1169"/>
      <c r="BD186" s="1169"/>
      <c r="BE186" s="1641"/>
      <c r="BF186" s="575"/>
      <c r="BG186" s="575"/>
      <c r="BH186" s="575"/>
      <c r="BI186" s="575"/>
      <c r="BJ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O187" s="1169"/>
      <c r="AP187" s="1645"/>
      <c r="AQ187" s="1645"/>
      <c r="AR187" s="1169"/>
      <c r="AS187" s="1169"/>
      <c r="AT187" s="1169"/>
      <c r="AU187" s="1169"/>
      <c r="AV187" s="1645"/>
      <c r="AW187" s="1169"/>
      <c r="AX187" s="1169"/>
      <c r="AY187" s="553"/>
      <c r="AZ187" s="1169"/>
      <c r="BA187" s="1169"/>
      <c r="BB187" s="1169"/>
      <c r="BC187" s="1169"/>
      <c r="BD187" s="1169"/>
      <c r="BE187" s="1641"/>
      <c r="BF187" s="575"/>
      <c r="BG187" s="575"/>
      <c r="BH187" s="575"/>
      <c r="BI187" s="575"/>
      <c r="BJ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O188" s="1169"/>
      <c r="AP188" s="1645"/>
      <c r="AQ188" s="1645"/>
      <c r="AR188" s="1169"/>
      <c r="AS188" s="1169"/>
      <c r="AT188" s="1169"/>
      <c r="AU188" s="1169"/>
      <c r="AV188" s="1645"/>
      <c r="AW188" s="1169"/>
      <c r="AX188" s="1169"/>
      <c r="AY188" s="553"/>
      <c r="AZ188" s="1169"/>
      <c r="BA188" s="1169"/>
      <c r="BB188" s="1169"/>
      <c r="BC188" s="1169"/>
      <c r="BD188" s="1169"/>
      <c r="BE188" s="1641"/>
      <c r="BF188" s="575"/>
      <c r="BG188" s="575"/>
      <c r="BH188" s="575"/>
      <c r="BI188" s="575"/>
      <c r="BJ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O189" s="1169"/>
      <c r="AP189" s="1645"/>
      <c r="AQ189" s="1645"/>
      <c r="AR189" s="1169"/>
      <c r="AS189" s="1169"/>
      <c r="AT189" s="1169"/>
      <c r="AU189" s="1169"/>
      <c r="AV189" s="1645"/>
      <c r="AW189" s="1169"/>
      <c r="AX189" s="1169"/>
      <c r="AY189" s="553"/>
      <c r="AZ189" s="1169"/>
      <c r="BA189" s="1169"/>
      <c r="BB189" s="1169"/>
      <c r="BC189" s="1169"/>
      <c r="BD189" s="1169"/>
      <c r="BE189" s="1641"/>
      <c r="BF189" s="575"/>
      <c r="BG189" s="575"/>
      <c r="BH189" s="575"/>
      <c r="BI189" s="575"/>
      <c r="BJ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X190" s="1650"/>
      <c r="Y190" s="1650"/>
      <c r="Z190" s="1650"/>
      <c r="AA190" s="1650"/>
      <c r="AB190" s="1650"/>
      <c r="AC190" s="1650"/>
      <c r="AD190" s="1650"/>
      <c r="AE190" s="1650"/>
      <c r="AF190" s="1650"/>
      <c r="AG190" s="1650"/>
      <c r="AH190" s="1650"/>
      <c r="AI190" s="1650"/>
      <c r="AJ190" s="1650"/>
      <c r="AK190" s="1650"/>
      <c r="AL190" s="1650"/>
      <c r="AM190" s="1650"/>
      <c r="AO190" s="1169"/>
      <c r="AP190" s="1645"/>
      <c r="AQ190" s="1645"/>
      <c r="AR190" s="1169"/>
      <c r="AS190" s="1169"/>
      <c r="AT190" s="1169"/>
      <c r="AU190" s="1169"/>
      <c r="AV190" s="1645"/>
      <c r="AW190" s="1169"/>
      <c r="AX190" s="1169"/>
      <c r="AY190" s="553"/>
      <c r="AZ190" s="1169"/>
      <c r="BA190" s="1169"/>
      <c r="BB190" s="1169"/>
      <c r="BC190" s="1169"/>
      <c r="BD190" s="1169"/>
      <c r="BE190" s="1641"/>
      <c r="BF190" s="575"/>
      <c r="BG190" s="575"/>
      <c r="BH190" s="575"/>
      <c r="BI190" s="575"/>
      <c r="BJ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X191" s="1650"/>
      <c r="Y191" s="1650"/>
      <c r="Z191" s="1650"/>
      <c r="AA191" s="1650"/>
      <c r="AB191" s="1650"/>
      <c r="AC191" s="1650"/>
      <c r="AD191" s="1650"/>
      <c r="AE191" s="1650"/>
      <c r="AF191" s="1650"/>
      <c r="AG191" s="1650"/>
      <c r="AH191" s="1650"/>
      <c r="AI191" s="1650"/>
      <c r="AJ191" s="1650"/>
      <c r="AK191" s="1650"/>
      <c r="AL191" s="1650"/>
      <c r="AM191" s="1650"/>
      <c r="AO191" s="1169"/>
      <c r="AP191" s="1645"/>
      <c r="AQ191" s="1645"/>
      <c r="AR191" s="1169"/>
      <c r="AS191" s="1169"/>
      <c r="AT191" s="1169"/>
      <c r="AU191" s="1169"/>
      <c r="AV191" s="1645"/>
      <c r="AW191" s="1169"/>
      <c r="AX191" s="1169"/>
      <c r="AY191" s="553"/>
      <c r="AZ191" s="1169"/>
      <c r="BA191" s="1169"/>
      <c r="BB191" s="1169"/>
      <c r="BC191" s="1169"/>
      <c r="BD191" s="1169"/>
      <c r="BE191" s="1641"/>
      <c r="BF191" s="575"/>
      <c r="BG191" s="575"/>
      <c r="BH191" s="575"/>
      <c r="BI191" s="575"/>
      <c r="BJ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X192" s="1650"/>
      <c r="Y192" s="1650"/>
      <c r="Z192" s="1650"/>
      <c r="AA192" s="1650"/>
      <c r="AB192" s="1650"/>
      <c r="AC192" s="1650"/>
      <c r="AD192" s="1650"/>
      <c r="AE192" s="1650"/>
      <c r="AF192" s="1650"/>
      <c r="AG192" s="1650"/>
      <c r="AH192" s="1650"/>
      <c r="AI192" s="1650"/>
      <c r="AJ192" s="1650"/>
      <c r="AK192" s="1650"/>
      <c r="AL192" s="1650"/>
      <c r="AM192" s="1650"/>
      <c r="AO192" s="1169"/>
      <c r="AP192" s="1645"/>
      <c r="AQ192" s="1645"/>
      <c r="AR192" s="1169"/>
      <c r="AS192" s="1169"/>
      <c r="AT192" s="1169"/>
      <c r="AU192" s="1169"/>
      <c r="AV192" s="1645"/>
      <c r="AW192" s="1169"/>
      <c r="AX192" s="1169"/>
      <c r="AY192" s="553"/>
      <c r="AZ192" s="1169"/>
      <c r="BA192" s="1169"/>
      <c r="BB192" s="1169"/>
      <c r="BC192" s="1169"/>
      <c r="BD192" s="1169"/>
      <c r="BE192" s="1641"/>
      <c r="BF192" s="575"/>
      <c r="BG192" s="575"/>
      <c r="BH192" s="575"/>
      <c r="BI192" s="575"/>
      <c r="BJ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X193" s="1650"/>
      <c r="Y193" s="1650"/>
      <c r="Z193" s="1650"/>
      <c r="AA193" s="1650"/>
      <c r="AB193" s="1650"/>
      <c r="AC193" s="1650"/>
      <c r="AD193" s="1650"/>
      <c r="AE193" s="1650"/>
      <c r="AF193" s="1650"/>
      <c r="AG193" s="1650"/>
      <c r="AH193" s="1650"/>
      <c r="AI193" s="1650"/>
      <c r="AJ193" s="1650"/>
      <c r="AK193" s="1650"/>
      <c r="AL193" s="1650"/>
      <c r="AM193" s="1650"/>
      <c r="AO193" s="1169"/>
      <c r="AP193" s="1645"/>
      <c r="AQ193" s="1645"/>
      <c r="AR193" s="1169"/>
      <c r="AS193" s="1169"/>
      <c r="AT193" s="1169"/>
      <c r="AU193" s="1169"/>
      <c r="AV193" s="1645"/>
      <c r="AW193" s="1169"/>
      <c r="AX193" s="1169"/>
      <c r="AY193" s="553"/>
      <c r="AZ193" s="1169"/>
      <c r="BA193" s="1169"/>
      <c r="BB193" s="1169"/>
      <c r="BC193" s="1169"/>
      <c r="BD193" s="1169"/>
      <c r="BE193" s="1641"/>
      <c r="BF193" s="575"/>
      <c r="BG193" s="575"/>
      <c r="BH193" s="575"/>
      <c r="BI193" s="575"/>
      <c r="BJ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X194" s="1650"/>
      <c r="Y194" s="1650"/>
      <c r="Z194" s="1650"/>
      <c r="AA194" s="1650"/>
      <c r="AB194" s="1650"/>
      <c r="AC194" s="1650"/>
      <c r="AD194" s="1650"/>
      <c r="AE194" s="1650"/>
      <c r="AF194" s="1650"/>
      <c r="AG194" s="1650"/>
      <c r="AH194" s="1650"/>
      <c r="AI194" s="1650"/>
      <c r="AJ194" s="1650"/>
      <c r="AK194" s="1650"/>
      <c r="AL194" s="1650"/>
      <c r="AM194" s="1650"/>
      <c r="AO194" s="1169"/>
      <c r="AP194" s="1645"/>
      <c r="AQ194" s="1645"/>
      <c r="AR194" s="1169"/>
      <c r="AS194" s="1169"/>
      <c r="AT194" s="1169"/>
      <c r="AU194" s="1169"/>
      <c r="AV194" s="1645"/>
      <c r="AW194" s="1169"/>
      <c r="AX194" s="1169"/>
      <c r="AY194" s="553"/>
      <c r="AZ194" s="1169"/>
      <c r="BA194" s="1169"/>
      <c r="BB194" s="1169"/>
      <c r="BC194" s="1169"/>
      <c r="BD194" s="1169"/>
      <c r="BE194" s="1641"/>
      <c r="BF194" s="575"/>
      <c r="BG194" s="575"/>
      <c r="BH194" s="575"/>
      <c r="BI194" s="575"/>
      <c r="BJ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X195" s="1650"/>
      <c r="Y195" s="1650"/>
      <c r="Z195" s="1650"/>
      <c r="AA195" s="1650"/>
      <c r="AB195" s="1650"/>
      <c r="AC195" s="1650"/>
      <c r="AD195" s="1650"/>
      <c r="AE195" s="1650"/>
      <c r="AF195" s="1650"/>
      <c r="AG195" s="1650"/>
      <c r="AH195" s="1650"/>
      <c r="AI195" s="1650"/>
      <c r="AJ195" s="1650"/>
      <c r="AK195" s="1650"/>
      <c r="AL195" s="1650"/>
      <c r="AM195" s="1650"/>
      <c r="AO195" s="1169"/>
      <c r="AP195" s="1645"/>
      <c r="AQ195" s="1645"/>
      <c r="AR195" s="1169"/>
      <c r="AS195" s="1169"/>
      <c r="AT195" s="1169"/>
      <c r="AU195" s="1169"/>
      <c r="AV195" s="1645"/>
      <c r="AW195" s="1169"/>
      <c r="AX195" s="1169"/>
      <c r="AY195" s="553"/>
      <c r="AZ195" s="1169"/>
      <c r="BA195" s="1169"/>
      <c r="BB195" s="1169"/>
      <c r="BC195" s="1169"/>
      <c r="BD195" s="1169"/>
      <c r="BE195" s="1641"/>
      <c r="BF195" s="575"/>
      <c r="BG195" s="575"/>
      <c r="BH195" s="575"/>
      <c r="BI195" s="575"/>
      <c r="BJ195" s="1650">
        <v>11</v>
      </c>
    </row>
    <row s="1650" customFormat="1" customHeight="1" ht="11.549999999999999">
      <c r="A196" s="996"/>
      <c r="B196" s="1645"/>
      <c r="C196" s="1645"/>
      <c r="D196" s="360"/>
      <c r="J196" s="1650"/>
      <c r="K196" s="1650"/>
      <c r="L196" s="1650"/>
      <c r="M196" s="1650"/>
      <c r="N196" s="1650"/>
      <c r="O196" s="1650"/>
      <c r="P196" s="1650"/>
      <c r="Q196" s="1650"/>
      <c r="R196" s="1650"/>
      <c r="S196" s="1650"/>
      <c r="T196" s="1650"/>
      <c r="U196" s="1650"/>
      <c r="V196" s="1650"/>
      <c r="W196" s="1650"/>
      <c r="X196" s="1650"/>
      <c r="Y196" s="1650"/>
      <c r="Z196" s="1650"/>
      <c r="AA196" s="1650"/>
      <c r="AB196" s="1650"/>
      <c r="AC196" s="1650"/>
      <c r="AD196" s="1650"/>
      <c r="AE196" s="1650"/>
      <c r="AF196" s="1650"/>
      <c r="AG196" s="1650"/>
      <c r="AH196" s="1650"/>
      <c r="AI196" s="1650"/>
      <c r="AJ196" s="1650"/>
      <c r="AK196" s="1650"/>
      <c r="AL196" s="1650"/>
      <c r="AM196" s="1650"/>
      <c r="AO196" s="1169"/>
      <c r="AP196" s="1645"/>
      <c r="AQ196" s="1645"/>
      <c r="AR196" s="1169"/>
      <c r="AS196" s="1169"/>
      <c r="AT196" s="1169"/>
      <c r="AU196" s="1169"/>
      <c r="AV196" s="1645"/>
      <c r="AW196" s="1169"/>
      <c r="AX196" s="1169"/>
      <c r="AY196" s="553"/>
      <c r="AZ196" s="1169"/>
      <c r="BA196" s="1169"/>
      <c r="BB196" s="1169"/>
      <c r="BC196" s="1169"/>
      <c r="BD196" s="1169"/>
      <c r="BE196" s="1641"/>
      <c r="BF196" s="575"/>
      <c r="BG196" s="575"/>
      <c r="BH196" s="575"/>
      <c r="BI196" s="575"/>
      <c r="BJ196" s="1650">
        <v>11</v>
      </c>
    </row>
    <row s="1650" customFormat="1" customHeight="1" ht="11.549999999999999">
      <c r="A197" s="996"/>
      <c r="B197" s="1645"/>
      <c r="C197" s="1645"/>
      <c r="D197" s="360"/>
      <c r="J197" s="1650"/>
      <c r="K197" s="1650"/>
      <c r="L197" s="1650"/>
      <c r="M197" s="1650"/>
      <c r="N197" s="1650"/>
      <c r="O197" s="1650"/>
      <c r="P197" s="1650"/>
      <c r="Q197" s="1650"/>
      <c r="R197" s="1650"/>
      <c r="S197" s="1650"/>
      <c r="T197" s="1650"/>
      <c r="U197" s="1650"/>
      <c r="V197" s="1650"/>
      <c r="W197" s="1650"/>
      <c r="X197" s="1650"/>
      <c r="Y197" s="1650"/>
      <c r="Z197" s="1650"/>
      <c r="AA197" s="1650"/>
      <c r="AB197" s="1650"/>
      <c r="AC197" s="1650"/>
      <c r="AD197" s="1650"/>
      <c r="AE197" s="1650"/>
      <c r="AF197" s="1650"/>
      <c r="AG197" s="1650"/>
      <c r="AH197" s="1650"/>
      <c r="AI197" s="1650"/>
      <c r="AJ197" s="1650"/>
      <c r="AK197" s="1650"/>
      <c r="AL197" s="1650"/>
      <c r="AM197" s="1650"/>
      <c r="AO197" s="1169"/>
      <c r="AP197" s="1645"/>
      <c r="AQ197" s="1645"/>
      <c r="AR197" s="1169"/>
      <c r="AS197" s="1169"/>
      <c r="AT197" s="1169"/>
      <c r="AU197" s="1169"/>
      <c r="AV197" s="1645"/>
      <c r="AW197" s="1169"/>
      <c r="AX197" s="1169"/>
      <c r="AY197" s="553"/>
      <c r="AZ197" s="1169"/>
      <c r="BA197" s="1169"/>
      <c r="BB197" s="1169"/>
      <c r="BC197" s="1169"/>
      <c r="BD197" s="1169"/>
      <c r="BE197" s="1641"/>
      <c r="BF197" s="575"/>
      <c r="BG197" s="575"/>
      <c r="BH197" s="575"/>
      <c r="BI197" s="575"/>
      <c r="BJ197" s="1650">
        <v>11</v>
      </c>
    </row>
    <row s="1650" customFormat="1" customHeight="1" ht="11.549999999999999">
      <c r="A198" s="996"/>
      <c r="B198" s="1645"/>
      <c r="C198" s="1645"/>
      <c r="D198" s="360"/>
      <c r="J198" s="1650"/>
      <c r="K198" s="1650"/>
      <c r="L198" s="1650"/>
      <c r="M198" s="1650"/>
      <c r="N198" s="1650"/>
      <c r="O198" s="1650"/>
      <c r="P198" s="1650"/>
      <c r="Q198" s="1650"/>
      <c r="R198" s="1650"/>
      <c r="S198" s="1650"/>
      <c r="T198" s="1650"/>
      <c r="U198" s="1650"/>
      <c r="V198" s="1650"/>
      <c r="W198" s="1650"/>
      <c r="X198" s="1650"/>
      <c r="Y198" s="1650"/>
      <c r="Z198" s="1650"/>
      <c r="AA198" s="1650"/>
      <c r="AB198" s="1650"/>
      <c r="AC198" s="1650"/>
      <c r="AD198" s="1650"/>
      <c r="AE198" s="1650"/>
      <c r="AF198" s="1650"/>
      <c r="AG198" s="1650"/>
      <c r="AH198" s="1650"/>
      <c r="AI198" s="1650"/>
      <c r="AJ198" s="1650"/>
      <c r="AK198" s="1650"/>
      <c r="AL198" s="1650"/>
      <c r="AM198" s="1650"/>
      <c r="AO198" s="1169"/>
      <c r="AP198" s="1645"/>
      <c r="AQ198" s="1645"/>
      <c r="AR198" s="1169"/>
      <c r="AS198" s="1169"/>
      <c r="AT198" s="1169"/>
      <c r="AU198" s="1169"/>
      <c r="AV198" s="1645"/>
      <c r="AW198" s="1169"/>
      <c r="AX198" s="1169"/>
      <c r="AY198" s="553"/>
      <c r="AZ198" s="1169"/>
      <c r="BA198" s="1169"/>
      <c r="BB198" s="1169"/>
      <c r="BC198" s="1169"/>
      <c r="BD198" s="1169"/>
      <c r="BE198" s="1641"/>
      <c r="BF198" s="575"/>
      <c r="BG198" s="575"/>
      <c r="BH198" s="575"/>
      <c r="BI198" s="575"/>
      <c r="BJ198" s="1650">
        <v>11</v>
      </c>
    </row>
    <row s="1650" customFormat="1" customHeight="1" ht="11.549999999999999">
      <c r="A199" s="996"/>
      <c r="B199" s="1645"/>
      <c r="C199" s="1645"/>
      <c r="D199" s="36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1650"/>
      <c r="AD199" s="1650"/>
      <c r="AE199" s="1650"/>
      <c r="AF199" s="1650"/>
      <c r="AG199" s="1650"/>
      <c r="AH199" s="1650"/>
      <c r="AI199" s="1650"/>
      <c r="AJ199" s="1650"/>
      <c r="AK199" s="1650"/>
      <c r="AL199" s="1650"/>
      <c r="AM199" s="1650"/>
      <c r="AO199" s="1169"/>
      <c r="AP199" s="1645"/>
      <c r="AQ199" s="1645"/>
      <c r="AR199" s="1169"/>
      <c r="AS199" s="1169"/>
      <c r="AT199" s="1169"/>
      <c r="AU199" s="1169"/>
      <c r="AV199" s="1645"/>
      <c r="AW199" s="1169"/>
      <c r="AX199" s="1169"/>
      <c r="AY199" s="553"/>
      <c r="AZ199" s="1169"/>
      <c r="BA199" s="1169"/>
      <c r="BB199" s="1169"/>
      <c r="BC199" s="1169"/>
      <c r="BD199" s="1169"/>
      <c r="BE199" s="1641"/>
      <c r="BF199" s="575"/>
      <c r="BG199" s="575"/>
      <c r="BH199" s="575"/>
      <c r="BI199" s="575"/>
      <c r="BJ199" s="1650">
        <v>11</v>
      </c>
    </row>
    <row s="1650" customFormat="1" customHeight="1" ht="11.549999999999999">
      <c r="A200" s="996"/>
      <c r="B200" s="1645"/>
      <c r="C200" s="1645"/>
      <c r="D200" s="360"/>
      <c r="J200" s="1650"/>
      <c r="K200" s="1650"/>
      <c r="L200" s="1650"/>
      <c r="M200" s="1650"/>
      <c r="N200" s="1650"/>
      <c r="O200" s="1650"/>
      <c r="P200" s="1650"/>
      <c r="Q200" s="1650"/>
      <c r="R200" s="1650"/>
      <c r="S200" s="1650"/>
      <c r="T200" s="1650"/>
      <c r="U200" s="1650"/>
      <c r="V200" s="1650"/>
      <c r="W200" s="1650"/>
      <c r="X200" s="1650"/>
      <c r="Y200" s="1650"/>
      <c r="Z200" s="1650"/>
      <c r="AA200" s="1650"/>
      <c r="AB200" s="1650"/>
      <c r="AC200" s="1650"/>
      <c r="AD200" s="1650"/>
      <c r="AE200" s="1650"/>
      <c r="AF200" s="1650"/>
      <c r="AG200" s="1650"/>
      <c r="AH200" s="1650"/>
      <c r="AI200" s="1650"/>
      <c r="AJ200" s="1650"/>
      <c r="AK200" s="1650"/>
      <c r="AL200" s="1650"/>
      <c r="AM200" s="1650"/>
      <c r="AO200" s="1169"/>
      <c r="AP200" s="1645"/>
      <c r="AQ200" s="1645"/>
      <c r="AR200" s="1169"/>
      <c r="AS200" s="1169"/>
      <c r="AT200" s="1169"/>
      <c r="AU200" s="1169"/>
      <c r="AV200" s="1645"/>
      <c r="AW200" s="1169"/>
      <c r="AX200" s="1169"/>
      <c r="AY200" s="553"/>
      <c r="AZ200" s="1169"/>
      <c r="BA200" s="1169"/>
      <c r="BB200" s="1169"/>
      <c r="BC200" s="1169"/>
      <c r="BD200" s="1169"/>
      <c r="BE200" s="1641"/>
      <c r="BF200" s="575"/>
      <c r="BG200" s="575"/>
      <c r="BH200" s="575"/>
      <c r="BI200" s="575"/>
      <c r="BJ200" s="1650">
        <v>11</v>
      </c>
    </row>
    <row s="1650" customFormat="1" customHeight="1" ht="11.549999999999999">
      <c r="A201" s="996"/>
      <c r="B201" s="1645"/>
      <c r="C201" s="1645"/>
      <c r="D201" s="360"/>
      <c r="J201" s="1650"/>
      <c r="K201" s="1650"/>
      <c r="L201" s="1650"/>
      <c r="M201" s="1650"/>
      <c r="N201" s="1650"/>
      <c r="O201" s="1650"/>
      <c r="P201" s="1650"/>
      <c r="Q201" s="1650"/>
      <c r="R201" s="1650"/>
      <c r="S201" s="1650"/>
      <c r="T201" s="1650"/>
      <c r="U201" s="1650"/>
      <c r="V201" s="1650"/>
      <c r="W201" s="1650"/>
      <c r="X201" s="1650"/>
      <c r="Y201" s="1650"/>
      <c r="Z201" s="1650"/>
      <c r="AA201" s="1650"/>
      <c r="AB201" s="1650"/>
      <c r="AC201" s="1650"/>
      <c r="AD201" s="1650"/>
      <c r="AE201" s="1650"/>
      <c r="AF201" s="1650"/>
      <c r="AG201" s="1650"/>
      <c r="AH201" s="1650"/>
      <c r="AI201" s="1650"/>
      <c r="AJ201" s="1650"/>
      <c r="AK201" s="1650"/>
      <c r="AL201" s="1650"/>
      <c r="AM201" s="1650"/>
      <c r="AO201" s="1169"/>
      <c r="AP201" s="1645"/>
      <c r="AQ201" s="1645"/>
      <c r="AR201" s="1169"/>
      <c r="AS201" s="1169"/>
      <c r="AT201" s="1169"/>
      <c r="AU201" s="1169"/>
      <c r="AV201" s="1645"/>
      <c r="AW201" s="1169"/>
      <c r="AX201" s="1169"/>
      <c r="AY201" s="553"/>
      <c r="AZ201" s="1169"/>
      <c r="BA201" s="1169"/>
      <c r="BB201" s="1169"/>
      <c r="BC201" s="1169"/>
      <c r="BD201" s="1169"/>
      <c r="BE201" s="1641"/>
      <c r="BF201" s="575"/>
      <c r="BG201" s="575"/>
      <c r="BH201" s="575"/>
      <c r="BI201" s="575"/>
      <c r="BJ201" s="1650">
        <v>11</v>
      </c>
    </row>
    <row s="1650" customFormat="1" customHeight="1" ht="11.549999999999999">
      <c r="A202" s="996"/>
      <c r="B202" s="1645"/>
      <c r="C202" s="1645"/>
      <c r="D202" s="360"/>
      <c r="J202" s="1650"/>
      <c r="K202" s="1650"/>
      <c r="L202" s="1650"/>
      <c r="M202" s="1650"/>
      <c r="N202" s="1650"/>
      <c r="O202" s="1650"/>
      <c r="P202" s="1650"/>
      <c r="Q202" s="1650"/>
      <c r="R202" s="1650"/>
      <c r="S202" s="1650"/>
      <c r="T202" s="1650"/>
      <c r="U202" s="1650"/>
      <c r="V202" s="1650"/>
      <c r="W202" s="1650"/>
      <c r="X202" s="1650"/>
      <c r="Y202" s="1650"/>
      <c r="Z202" s="1650"/>
      <c r="AA202" s="1650"/>
      <c r="AB202" s="1650"/>
      <c r="AC202" s="1650"/>
      <c r="AD202" s="1650"/>
      <c r="AE202" s="1650"/>
      <c r="AF202" s="1650"/>
      <c r="AG202" s="1650"/>
      <c r="AH202" s="1650"/>
      <c r="AI202" s="1650"/>
      <c r="AJ202" s="1650"/>
      <c r="AK202" s="1650"/>
      <c r="AL202" s="1650"/>
      <c r="AM202" s="1650"/>
      <c r="AO202" s="1169"/>
      <c r="AP202" s="1645"/>
      <c r="AQ202" s="1645"/>
      <c r="AR202" s="1169"/>
      <c r="AS202" s="1169"/>
      <c r="AT202" s="1169"/>
      <c r="AU202" s="1169"/>
      <c r="AV202" s="1645"/>
      <c r="AW202" s="1169"/>
      <c r="AX202" s="1169"/>
      <c r="AY202" s="553"/>
      <c r="AZ202" s="1169"/>
      <c r="BA202" s="1169"/>
      <c r="BB202" s="1169"/>
      <c r="BC202" s="1169"/>
      <c r="BD202" s="1169"/>
      <c r="BE202" s="1641"/>
      <c r="BF202" s="575"/>
      <c r="BG202" s="575"/>
      <c r="BH202" s="575"/>
      <c r="BI202" s="575"/>
      <c r="BJ202" s="1650">
        <v>11</v>
      </c>
    </row>
    <row s="1650" customFormat="1" customHeight="1" ht="11.549999999999999">
      <c r="A203" s="996"/>
      <c r="B203" s="1645"/>
      <c r="C203" s="1645"/>
      <c r="D203" s="360"/>
      <c r="J203" s="1650"/>
      <c r="K203" s="1650"/>
      <c r="L203" s="1650"/>
      <c r="M203" s="1650"/>
      <c r="N203" s="1650"/>
      <c r="O203" s="1650"/>
      <c r="P203" s="1650"/>
      <c r="Q203" s="1650"/>
      <c r="R203" s="1650"/>
      <c r="S203" s="1650"/>
      <c r="T203" s="1650"/>
      <c r="U203" s="1650"/>
      <c r="V203" s="1650"/>
      <c r="W203" s="1650"/>
      <c r="X203" s="1650"/>
      <c r="Y203" s="1650"/>
      <c r="Z203" s="1650"/>
      <c r="AA203" s="1650"/>
      <c r="AB203" s="1650"/>
      <c r="AC203" s="1650"/>
      <c r="AD203" s="1650"/>
      <c r="AE203" s="1650"/>
      <c r="AF203" s="1650"/>
      <c r="AG203" s="1650"/>
      <c r="AH203" s="1650"/>
      <c r="AI203" s="1650"/>
      <c r="AJ203" s="1650"/>
      <c r="AK203" s="1650"/>
      <c r="AL203" s="1650"/>
      <c r="AM203" s="1650"/>
      <c r="AO203" s="1169"/>
      <c r="AP203" s="1645"/>
      <c r="AQ203" s="1645"/>
      <c r="AR203" s="1169"/>
      <c r="AS203" s="1169"/>
      <c r="AT203" s="1169"/>
      <c r="AU203" s="1169"/>
      <c r="AV203" s="1645"/>
      <c r="AW203" s="1169"/>
      <c r="AX203" s="1169"/>
      <c r="AY203" s="553"/>
      <c r="AZ203" s="1169"/>
      <c r="BA203" s="1169"/>
      <c r="BB203" s="1169"/>
      <c r="BC203" s="1169"/>
      <c r="BD203" s="1169"/>
      <c r="BE203" s="1641"/>
      <c r="BF203" s="575"/>
      <c r="BG203" s="575"/>
      <c r="BH203" s="575"/>
      <c r="BI203" s="575"/>
      <c r="BJ203" s="1650">
        <v>11</v>
      </c>
    </row>
    <row s="1650" customFormat="1" customHeight="1" ht="11.549999999999999">
      <c r="A204" s="996"/>
      <c r="B204" s="1645"/>
      <c r="C204" s="1645"/>
      <c r="D204" s="360"/>
      <c r="J204" s="1650"/>
      <c r="K204" s="1650"/>
      <c r="L204" s="1650"/>
      <c r="M204" s="1650"/>
      <c r="N204" s="1650"/>
      <c r="O204" s="1650"/>
      <c r="P204" s="1650"/>
      <c r="Q204" s="1650"/>
      <c r="R204" s="1650"/>
      <c r="S204" s="1650"/>
      <c r="T204" s="1650"/>
      <c r="U204" s="1650"/>
      <c r="V204" s="1650"/>
      <c r="W204" s="1650"/>
      <c r="X204" s="1650"/>
      <c r="Y204" s="1650"/>
      <c r="Z204" s="1650"/>
      <c r="AA204" s="1650"/>
      <c r="AB204" s="1650"/>
      <c r="AC204" s="1650"/>
      <c r="AD204" s="1650"/>
      <c r="AE204" s="1650"/>
      <c r="AF204" s="1650"/>
      <c r="AG204" s="1650"/>
      <c r="AH204" s="1650"/>
      <c r="AI204" s="1650"/>
      <c r="AJ204" s="1650"/>
      <c r="AK204" s="1650"/>
      <c r="AL204" s="1650"/>
      <c r="AM204" s="1650"/>
      <c r="AO204" s="1169"/>
      <c r="AP204" s="1645"/>
      <c r="AQ204" s="1645"/>
      <c r="AR204" s="1169"/>
      <c r="AS204" s="1169"/>
      <c r="AT204" s="1169"/>
      <c r="AU204" s="1169"/>
      <c r="AV204" s="1645"/>
      <c r="AW204" s="1169"/>
      <c r="AX204" s="1169"/>
      <c r="AY204" s="553"/>
      <c r="AZ204" s="1169"/>
      <c r="BA204" s="1169"/>
      <c r="BB204" s="1169"/>
      <c r="BC204" s="1169"/>
      <c r="BD204" s="1169"/>
      <c r="BE204" s="1641"/>
      <c r="BF204" s="575"/>
      <c r="BG204" s="575"/>
      <c r="BH204" s="575"/>
      <c r="BI204" s="575"/>
      <c r="BJ204" s="1650">
        <v>11</v>
      </c>
    </row>
    <row s="1650" customFormat="1" customHeight="1" ht="11.549999999999999">
      <c r="A205" s="996"/>
      <c r="B205" s="1645"/>
      <c r="C205" s="1645"/>
      <c r="D205" s="360"/>
      <c r="J205" s="1650"/>
      <c r="K205" s="1650"/>
      <c r="L205" s="1650"/>
      <c r="M205" s="1650"/>
      <c r="N205" s="1650"/>
      <c r="O205" s="1650"/>
      <c r="P205" s="1650"/>
      <c r="Q205" s="1650"/>
      <c r="R205" s="1650"/>
      <c r="S205" s="1650"/>
      <c r="T205" s="1650"/>
      <c r="U205" s="1650"/>
      <c r="V205" s="1650"/>
      <c r="W205" s="1650"/>
      <c r="X205" s="1650"/>
      <c r="Y205" s="1650"/>
      <c r="Z205" s="1650"/>
      <c r="AA205" s="1650"/>
      <c r="AB205" s="1650"/>
      <c r="AC205" s="1650"/>
      <c r="AD205" s="1650"/>
      <c r="AE205" s="1650"/>
      <c r="AF205" s="1650"/>
      <c r="AG205" s="1650"/>
      <c r="AH205" s="1650"/>
      <c r="AI205" s="1650"/>
      <c r="AJ205" s="1650"/>
      <c r="AK205" s="1650"/>
      <c r="AL205" s="1650"/>
      <c r="AM205" s="1650"/>
      <c r="AO205" s="1169"/>
      <c r="AP205" s="1645"/>
      <c r="AQ205" s="1645"/>
      <c r="AR205" s="1169"/>
      <c r="AS205" s="1169"/>
      <c r="AT205" s="1169"/>
      <c r="AU205" s="1169"/>
      <c r="AV205" s="1645"/>
      <c r="AW205" s="1169"/>
      <c r="AX205" s="1169"/>
      <c r="AY205" s="553"/>
      <c r="AZ205" s="1169"/>
      <c r="BA205" s="1169"/>
      <c r="BB205" s="1169"/>
      <c r="BC205" s="1169"/>
      <c r="BD205" s="1169"/>
      <c r="BE205" s="1641"/>
      <c r="BF205" s="575"/>
      <c r="BG205" s="575"/>
      <c r="BH205" s="575"/>
      <c r="BI205" s="575"/>
      <c r="BJ205" s="1650">
        <v>11</v>
      </c>
    </row>
    <row s="1650" customFormat="1" customHeight="1" ht="11.549999999999999">
      <c r="A206" s="996"/>
      <c r="B206" s="1645"/>
      <c r="C206" s="1645"/>
      <c r="D206" s="360"/>
      <c r="J206" s="1650"/>
      <c r="K206" s="1650"/>
      <c r="L206" s="1650"/>
      <c r="M206" s="1650"/>
      <c r="N206" s="1650"/>
      <c r="O206" s="1650"/>
      <c r="P206" s="1650"/>
      <c r="Q206" s="1650"/>
      <c r="R206" s="1650"/>
      <c r="S206" s="1650"/>
      <c r="T206" s="1650"/>
      <c r="U206" s="1650"/>
      <c r="V206" s="1650"/>
      <c r="W206" s="1650"/>
      <c r="X206" s="1650"/>
      <c r="Y206" s="1650"/>
      <c r="Z206" s="1650"/>
      <c r="AA206" s="1650"/>
      <c r="AB206" s="1650"/>
      <c r="AC206" s="1650"/>
      <c r="AD206" s="1650"/>
      <c r="AE206" s="1650"/>
      <c r="AF206" s="1650"/>
      <c r="AG206" s="1650"/>
      <c r="AH206" s="1650"/>
      <c r="AI206" s="1650"/>
      <c r="AJ206" s="1650"/>
      <c r="AK206" s="1650"/>
      <c r="AL206" s="1650"/>
      <c r="AM206" s="1650"/>
      <c r="AO206" s="1169"/>
      <c r="AP206" s="1645"/>
      <c r="AQ206" s="1645"/>
      <c r="AR206" s="1169"/>
      <c r="AS206" s="1169"/>
      <c r="AT206" s="1169"/>
      <c r="AU206" s="1169"/>
      <c r="AV206" s="1645"/>
      <c r="AW206" s="1169"/>
      <c r="AX206" s="1169"/>
      <c r="AY206" s="553"/>
      <c r="AZ206" s="1169"/>
      <c r="BA206" s="1169"/>
      <c r="BB206" s="1169"/>
      <c r="BC206" s="1169"/>
      <c r="BD206" s="1169"/>
      <c r="BE206" s="1641"/>
      <c r="BF206" s="575"/>
      <c r="BG206" s="575"/>
      <c r="BH206" s="575"/>
      <c r="BI206" s="575"/>
      <c r="BJ206" s="1650">
        <v>11</v>
      </c>
    </row>
    <row s="1650" customFormat="1" customHeight="1" ht="11.549999999999999">
      <c r="A207" s="996"/>
      <c r="B207" s="1645"/>
      <c r="C207" s="1645"/>
      <c r="D207" s="360"/>
      <c r="J207" s="1650"/>
      <c r="K207" s="1650"/>
      <c r="L207" s="1650"/>
      <c r="M207" s="1650"/>
      <c r="N207" s="1650"/>
      <c r="O207" s="1650"/>
      <c r="P207" s="1650"/>
      <c r="Q207" s="1650"/>
      <c r="R207" s="1650"/>
      <c r="S207" s="1650"/>
      <c r="T207" s="1650"/>
      <c r="U207" s="1650"/>
      <c r="V207" s="1650"/>
      <c r="W207" s="1650"/>
      <c r="X207" s="1650"/>
      <c r="Y207" s="1650"/>
      <c r="Z207" s="1650"/>
      <c r="AA207" s="1650"/>
      <c r="AB207" s="1650"/>
      <c r="AC207" s="1650"/>
      <c r="AD207" s="1650"/>
      <c r="AE207" s="1650"/>
      <c r="AF207" s="1650"/>
      <c r="AG207" s="1650"/>
      <c r="AH207" s="1650"/>
      <c r="AI207" s="1650"/>
      <c r="AJ207" s="1650"/>
      <c r="AK207" s="1650"/>
      <c r="AL207" s="1650"/>
      <c r="AM207" s="1650"/>
      <c r="AO207" s="1169"/>
      <c r="AP207" s="1645"/>
      <c r="AQ207" s="1645"/>
      <c r="AR207" s="1169"/>
      <c r="AS207" s="1169"/>
      <c r="AT207" s="1169"/>
      <c r="AU207" s="1169"/>
      <c r="AV207" s="1645"/>
      <c r="AW207" s="1169"/>
      <c r="AX207" s="1169"/>
      <c r="AY207" s="553"/>
      <c r="AZ207" s="1169"/>
      <c r="BA207" s="1169"/>
      <c r="BB207" s="1169"/>
      <c r="BC207" s="1169"/>
      <c r="BD207" s="1169"/>
      <c r="BE207" s="1641"/>
      <c r="BF207" s="575"/>
      <c r="BG207" s="575"/>
      <c r="BH207" s="575"/>
      <c r="BI207" s="575"/>
      <c r="BJ207" s="1650">
        <v>11</v>
      </c>
    </row>
    <row s="1650" customFormat="1" customHeight="1" ht="11.549999999999999">
      <c r="A208" s="996"/>
      <c r="B208" s="1645"/>
      <c r="C208" s="1645"/>
      <c r="D208" s="360"/>
      <c r="J208" s="1650"/>
      <c r="K208" s="1650"/>
      <c r="L208" s="1650"/>
      <c r="M208" s="1650"/>
      <c r="N208" s="1650"/>
      <c r="O208" s="1650"/>
      <c r="P208" s="1650"/>
      <c r="Q208" s="1650"/>
      <c r="R208" s="1650"/>
      <c r="S208" s="1650"/>
      <c r="T208" s="1650"/>
      <c r="U208" s="1650"/>
      <c r="V208" s="1650"/>
      <c r="W208" s="1650"/>
      <c r="X208" s="1650"/>
      <c r="Y208" s="1650"/>
      <c r="Z208" s="1650"/>
      <c r="AA208" s="1650"/>
      <c r="AB208" s="1650"/>
      <c r="AC208" s="1650"/>
      <c r="AD208" s="1650"/>
      <c r="AE208" s="1650"/>
      <c r="AF208" s="1650"/>
      <c r="AG208" s="1650"/>
      <c r="AH208" s="1650"/>
      <c r="AI208" s="1650"/>
      <c r="AJ208" s="1650"/>
      <c r="AK208" s="1650"/>
      <c r="AL208" s="1650"/>
      <c r="AM208" s="1650"/>
      <c r="AO208" s="1169"/>
      <c r="AP208" s="1645"/>
      <c r="AQ208" s="1645"/>
      <c r="AR208" s="1169"/>
      <c r="AS208" s="1169"/>
      <c r="AT208" s="1169"/>
      <c r="AU208" s="1169"/>
      <c r="AV208" s="1645"/>
      <c r="AW208" s="1169"/>
      <c r="AX208" s="1169"/>
      <c r="AY208" s="553"/>
      <c r="AZ208" s="1169"/>
      <c r="BA208" s="1169"/>
      <c r="BB208" s="1169"/>
      <c r="BC208" s="1169"/>
      <c r="BD208" s="1169"/>
      <c r="BE208" s="1641"/>
      <c r="BF208" s="575"/>
      <c r="BG208" s="575"/>
      <c r="BH208" s="575"/>
      <c r="BI208" s="575"/>
      <c r="BJ208" s="1650">
        <v>11</v>
      </c>
    </row>
    <row s="1650" customFormat="1" customHeight="1" ht="11.549999999999999">
      <c r="A209" s="996"/>
      <c r="B209" s="1645"/>
      <c r="C209" s="1645"/>
      <c r="D209" s="360"/>
      <c r="J209" s="1650"/>
      <c r="K209" s="1650"/>
      <c r="L209" s="1650"/>
      <c r="M209" s="1650"/>
      <c r="N209" s="1650"/>
      <c r="O209" s="1650"/>
      <c r="P209" s="1650"/>
      <c r="Q209" s="1650"/>
      <c r="R209" s="1650"/>
      <c r="S209" s="1650"/>
      <c r="T209" s="1650"/>
      <c r="U209" s="1650"/>
      <c r="V209" s="1650"/>
      <c r="W209" s="1650"/>
      <c r="X209" s="1650"/>
      <c r="Y209" s="1650"/>
      <c r="Z209" s="1650"/>
      <c r="AA209" s="1650"/>
      <c r="AB209" s="1650"/>
      <c r="AC209" s="1650"/>
      <c r="AD209" s="1650"/>
      <c r="AE209" s="1650"/>
      <c r="AF209" s="1650"/>
      <c r="AG209" s="1650"/>
      <c r="AH209" s="1650"/>
      <c r="AI209" s="1650"/>
      <c r="AJ209" s="1650"/>
      <c r="AK209" s="1650"/>
      <c r="AL209" s="1650"/>
      <c r="AM209" s="1650"/>
      <c r="AO209" s="1169"/>
      <c r="AP209" s="1645"/>
      <c r="AQ209" s="1645"/>
      <c r="AR209" s="1169"/>
      <c r="AS209" s="1169"/>
      <c r="AT209" s="1169"/>
      <c r="AU209" s="1169"/>
      <c r="AV209" s="1645"/>
      <c r="AW209" s="1169"/>
      <c r="AX209" s="1169"/>
      <c r="AY209" s="553"/>
      <c r="AZ209" s="1169"/>
      <c r="BA209" s="1169"/>
      <c r="BB209" s="1169"/>
      <c r="BC209" s="1169"/>
      <c r="BD209" s="1169"/>
      <c r="BE209" s="1641"/>
      <c r="BF209" s="575"/>
      <c r="BG209" s="575"/>
      <c r="BH209" s="575"/>
      <c r="BI209" s="575"/>
      <c r="BJ209" s="1650">
        <v>11</v>
      </c>
    </row>
    <row s="1650" customFormat="1" customHeight="1" ht="11.549999999999999">
      <c r="A210" s="996"/>
      <c r="B210" s="1645"/>
      <c r="C210" s="1645"/>
      <c r="D210" s="360"/>
      <c r="J210" s="1650"/>
      <c r="K210" s="1650"/>
      <c r="L210" s="1650"/>
      <c r="M210" s="1650"/>
      <c r="N210" s="1650"/>
      <c r="O210" s="1650"/>
      <c r="P210" s="1650"/>
      <c r="Q210" s="1650"/>
      <c r="R210" s="1650"/>
      <c r="S210" s="1650"/>
      <c r="T210" s="1650"/>
      <c r="U210" s="1650"/>
      <c r="V210" s="1650"/>
      <c r="W210" s="1650"/>
      <c r="X210" s="1650"/>
      <c r="Y210" s="1650"/>
      <c r="Z210" s="1650"/>
      <c r="AA210" s="1650"/>
      <c r="AB210" s="1650"/>
      <c r="AC210" s="1650"/>
      <c r="AD210" s="1650"/>
      <c r="AE210" s="1650"/>
      <c r="AF210" s="1650"/>
      <c r="AG210" s="1650"/>
      <c r="AH210" s="1650"/>
      <c r="AI210" s="1650"/>
      <c r="AJ210" s="1650"/>
      <c r="AK210" s="1650"/>
      <c r="AL210" s="1650"/>
      <c r="AM210" s="1650"/>
      <c r="AO210" s="1169"/>
      <c r="AP210" s="1645"/>
      <c r="AQ210" s="1645"/>
      <c r="AR210" s="1169"/>
      <c r="AS210" s="1169"/>
      <c r="AT210" s="1169"/>
      <c r="AU210" s="1169"/>
      <c r="AV210" s="1645"/>
      <c r="AW210" s="1169"/>
      <c r="AX210" s="1169"/>
      <c r="AY210" s="553"/>
      <c r="AZ210" s="1169"/>
      <c r="BA210" s="1169"/>
      <c r="BB210" s="1169"/>
      <c r="BC210" s="1169"/>
      <c r="BD210" s="1169"/>
      <c r="BE210" s="1641"/>
      <c r="BF210" s="575"/>
      <c r="BG210" s="575"/>
      <c r="BH210" s="575"/>
      <c r="BI210" s="575"/>
      <c r="BJ210" s="1650">
        <v>11</v>
      </c>
    </row>
    <row s="1650" customFormat="1" customHeight="1" ht="11.549999999999999">
      <c r="A211" s="996"/>
      <c r="B211" s="1645"/>
      <c r="C211" s="1645"/>
      <c r="D211" s="360"/>
      <c r="J211" s="1650"/>
      <c r="K211" s="1650"/>
      <c r="L211" s="1650"/>
      <c r="M211" s="1650"/>
      <c r="N211" s="1650"/>
      <c r="O211" s="1650"/>
      <c r="P211" s="1650"/>
      <c r="Q211" s="1650"/>
      <c r="R211" s="1650"/>
      <c r="S211" s="1650"/>
      <c r="T211" s="1650"/>
      <c r="U211" s="1650"/>
      <c r="V211" s="1650"/>
      <c r="W211" s="1650"/>
      <c r="X211" s="1650"/>
      <c r="Y211" s="1650"/>
      <c r="Z211" s="1650"/>
      <c r="AA211" s="1650"/>
      <c r="AB211" s="1650"/>
      <c r="AC211" s="1650"/>
      <c r="AD211" s="1650"/>
      <c r="AE211" s="1650"/>
      <c r="AF211" s="1650"/>
      <c r="AG211" s="1650"/>
      <c r="AH211" s="1650"/>
      <c r="AI211" s="1650"/>
      <c r="AJ211" s="1650"/>
      <c r="AK211" s="1650"/>
      <c r="AL211" s="1650"/>
      <c r="AM211" s="1650"/>
      <c r="AO211" s="1169"/>
      <c r="AP211" s="1645"/>
      <c r="AQ211" s="1645"/>
      <c r="AR211" s="1169"/>
      <c r="AS211" s="1169"/>
      <c r="AT211" s="1169"/>
      <c r="AU211" s="1169"/>
      <c r="AV211" s="1645"/>
      <c r="AW211" s="1169"/>
      <c r="AX211" s="1169"/>
      <c r="AY211" s="553"/>
      <c r="AZ211" s="1169"/>
      <c r="BA211" s="1169"/>
      <c r="BB211" s="1169"/>
      <c r="BC211" s="1169"/>
      <c r="BD211" s="1169"/>
      <c r="BE211" s="1641"/>
      <c r="BF211" s="575"/>
      <c r="BG211" s="575"/>
      <c r="BH211" s="575"/>
      <c r="BI211" s="575"/>
      <c r="BJ211" s="1650">
        <v>11</v>
      </c>
    </row>
    <row s="1650" customFormat="1" customHeight="1" ht="11.549999999999999">
      <c r="A212" s="996"/>
      <c r="B212" s="1645"/>
      <c r="C212" s="1645"/>
      <c r="D212" s="360"/>
      <c r="J212" s="1650"/>
      <c r="K212" s="1650"/>
      <c r="L212" s="1650"/>
      <c r="M212" s="1650"/>
      <c r="N212" s="1650"/>
      <c r="O212" s="1650"/>
      <c r="P212" s="1650"/>
      <c r="Q212" s="1650"/>
      <c r="R212" s="1650"/>
      <c r="S212" s="1650"/>
      <c r="T212" s="1650"/>
      <c r="U212" s="1650"/>
      <c r="V212" s="1650"/>
      <c r="W212" s="1650"/>
      <c r="X212" s="1650"/>
      <c r="Y212" s="1650"/>
      <c r="Z212" s="1650"/>
      <c r="AA212" s="1650"/>
      <c r="AB212" s="1650"/>
      <c r="AC212" s="1650"/>
      <c r="AD212" s="1650"/>
      <c r="AE212" s="1650"/>
      <c r="AF212" s="1650"/>
      <c r="AG212" s="1650"/>
      <c r="AH212" s="1650"/>
      <c r="AI212" s="1650"/>
      <c r="AJ212" s="1650"/>
      <c r="AK212" s="1650"/>
      <c r="AL212" s="1650"/>
      <c r="AM212" s="1650"/>
      <c r="AO212" s="1169"/>
      <c r="AP212" s="1645"/>
      <c r="AQ212" s="1645"/>
      <c r="AR212" s="1169"/>
      <c r="AS212" s="1169"/>
      <c r="AT212" s="1169"/>
      <c r="AU212" s="1169"/>
      <c r="AV212" s="1645"/>
      <c r="AW212" s="1169"/>
      <c r="AX212" s="1169"/>
      <c r="AY212" s="553"/>
      <c r="AZ212" s="1169"/>
      <c r="BA212" s="1169"/>
      <c r="BB212" s="1169"/>
      <c r="BC212" s="1169"/>
      <c r="BD212" s="1169"/>
      <c r="BE212" s="1641"/>
      <c r="BF212" s="575"/>
      <c r="BG212" s="575"/>
      <c r="BH212" s="575"/>
      <c r="BI212" s="575"/>
      <c r="BJ212" s="1650">
        <v>11</v>
      </c>
    </row>
    <row s="1650" customFormat="1" customHeight="1" ht="11.549999999999999">
      <c r="A213" s="996"/>
      <c r="B213" s="1645"/>
      <c r="C213" s="1645"/>
      <c r="D213" s="360"/>
      <c r="J213" s="1650"/>
      <c r="K213" s="1650"/>
      <c r="L213" s="1650"/>
      <c r="M213" s="1650"/>
      <c r="N213" s="1650"/>
      <c r="O213" s="1650"/>
      <c r="P213" s="1650"/>
      <c r="Q213" s="1650"/>
      <c r="R213" s="1650"/>
      <c r="S213" s="1650"/>
      <c r="T213" s="1650"/>
      <c r="U213" s="1650"/>
      <c r="V213" s="1650"/>
      <c r="W213" s="1650"/>
      <c r="X213" s="1650"/>
      <c r="Y213" s="1650"/>
      <c r="Z213" s="1650"/>
      <c r="AA213" s="1650"/>
      <c r="AB213" s="1650"/>
      <c r="AC213" s="1650"/>
      <c r="AD213" s="1650"/>
      <c r="AE213" s="1650"/>
      <c r="AF213" s="1650"/>
      <c r="AG213" s="1650"/>
      <c r="AH213" s="1650"/>
      <c r="AI213" s="1650"/>
      <c r="AJ213" s="1650"/>
      <c r="AK213" s="1650"/>
      <c r="AL213" s="1650"/>
      <c r="AM213" s="1650"/>
      <c r="AO213" s="1169"/>
      <c r="AP213" s="1645"/>
      <c r="AQ213" s="1645"/>
      <c r="AR213" s="1169"/>
      <c r="AS213" s="1169"/>
      <c r="AT213" s="1169"/>
      <c r="AU213" s="1169"/>
      <c r="AV213" s="1645"/>
      <c r="AW213" s="1169"/>
      <c r="AX213" s="1169"/>
      <c r="AY213" s="553"/>
      <c r="AZ213" s="1169"/>
      <c r="BA213" s="1169"/>
      <c r="BB213" s="1169"/>
      <c r="BC213" s="1169"/>
      <c r="BD213" s="1169"/>
      <c r="BE213" s="1641"/>
      <c r="BF213" s="575"/>
      <c r="BG213" s="575"/>
      <c r="BH213" s="575"/>
      <c r="BI213" s="575"/>
      <c r="BJ213" s="1650">
        <v>11</v>
      </c>
    </row>
    <row s="1650" customFormat="1" customHeight="1" ht="11.549999999999999">
      <c r="A214" s="996"/>
      <c r="B214" s="1645"/>
      <c r="C214" s="1645"/>
      <c r="D214" s="360"/>
      <c r="J214" s="1650"/>
      <c r="K214" s="1650"/>
      <c r="L214" s="1650"/>
      <c r="M214" s="1650"/>
      <c r="N214" s="1650"/>
      <c r="O214" s="1650"/>
      <c r="P214" s="1650"/>
      <c r="Q214" s="1650"/>
      <c r="R214" s="1650"/>
      <c r="S214" s="1650"/>
      <c r="T214" s="1650"/>
      <c r="U214" s="1650"/>
      <c r="V214" s="1650"/>
      <c r="W214" s="1650"/>
      <c r="X214" s="1650"/>
      <c r="Y214" s="1650"/>
      <c r="Z214" s="1650"/>
      <c r="AA214" s="1650"/>
      <c r="AB214" s="1650"/>
      <c r="AC214" s="1650"/>
      <c r="AD214" s="1650"/>
      <c r="AE214" s="1650"/>
      <c r="AF214" s="1650"/>
      <c r="AG214" s="1650"/>
      <c r="AH214" s="1650"/>
      <c r="AI214" s="1650"/>
      <c r="AJ214" s="1650"/>
      <c r="AK214" s="1650"/>
      <c r="AL214" s="1650"/>
      <c r="AM214" s="1650"/>
      <c r="AO214" s="1169"/>
      <c r="AP214" s="1645"/>
      <c r="AQ214" s="1645"/>
      <c r="AR214" s="1169"/>
      <c r="AS214" s="1169"/>
      <c r="AT214" s="1169"/>
      <c r="AU214" s="1169"/>
      <c r="AV214" s="1645"/>
      <c r="AW214" s="1169"/>
      <c r="AX214" s="1169"/>
      <c r="AY214" s="553"/>
      <c r="AZ214" s="1169"/>
      <c r="BA214" s="1169"/>
      <c r="BB214" s="1169"/>
      <c r="BC214" s="1169"/>
      <c r="BD214" s="1169"/>
      <c r="BE214" s="1641"/>
      <c r="BF214" s="575"/>
      <c r="BG214" s="575"/>
      <c r="BH214" s="575"/>
      <c r="BI214" s="575"/>
      <c r="BJ214" s="1650">
        <v>11</v>
      </c>
    </row>
    <row s="1650" customFormat="1" customHeight="1" ht="11.549999999999999">
      <c r="A215" s="996"/>
      <c r="B215" s="1645"/>
      <c r="C215" s="1645"/>
      <c r="D215" s="360"/>
      <c r="J215" s="1650"/>
      <c r="K215" s="1650"/>
      <c r="L215" s="1650"/>
      <c r="M215" s="1650"/>
      <c r="N215" s="1650"/>
      <c r="O215" s="1650"/>
      <c r="P215" s="1650"/>
      <c r="Q215" s="1650"/>
      <c r="R215" s="1650"/>
      <c r="S215" s="1650"/>
      <c r="T215" s="1650"/>
      <c r="U215" s="1650"/>
      <c r="V215" s="1650"/>
      <c r="W215" s="1650"/>
      <c r="X215" s="1650"/>
      <c r="Y215" s="1650"/>
      <c r="Z215" s="1650"/>
      <c r="AA215" s="1650"/>
      <c r="AB215" s="1650"/>
      <c r="AC215" s="1650"/>
      <c r="AD215" s="1650"/>
      <c r="AE215" s="1650"/>
      <c r="AF215" s="1650"/>
      <c r="AG215" s="1650"/>
      <c r="AH215" s="1650"/>
      <c r="AI215" s="1650"/>
      <c r="AJ215" s="1650"/>
      <c r="AK215" s="1650"/>
      <c r="AL215" s="1650"/>
      <c r="AM215" s="1650"/>
      <c r="AO215" s="1169"/>
      <c r="AP215" s="1645"/>
      <c r="AQ215" s="1645"/>
      <c r="AR215" s="1169"/>
      <c r="AS215" s="1169"/>
      <c r="AT215" s="1169"/>
      <c r="AU215" s="1169"/>
      <c r="AV215" s="1645"/>
      <c r="AW215" s="1169"/>
      <c r="AX215" s="1169"/>
      <c r="AY215" s="553"/>
      <c r="AZ215" s="1169"/>
      <c r="BA215" s="1169"/>
      <c r="BB215" s="1169"/>
      <c r="BC215" s="1169"/>
      <c r="BD215" s="1169"/>
      <c r="BE215" s="1641"/>
      <c r="BF215" s="575"/>
      <c r="BG215" s="575"/>
      <c r="BH215" s="575"/>
      <c r="BI215" s="575"/>
      <c r="BJ215" s="1650">
        <v>11</v>
      </c>
    </row>
    <row s="1650" customFormat="1" customHeight="1" ht="11.549999999999999">
      <c r="A216" s="996"/>
      <c r="B216" s="1645"/>
      <c r="C216" s="1645"/>
      <c r="D216" s="360"/>
      <c r="J216" s="1650"/>
      <c r="K216" s="1650"/>
      <c r="L216" s="1650"/>
      <c r="M216" s="1650"/>
      <c r="N216" s="1650"/>
      <c r="O216" s="1650"/>
      <c r="P216" s="1650"/>
      <c r="Q216" s="1650"/>
      <c r="R216" s="1650"/>
      <c r="S216" s="1650"/>
      <c r="T216" s="1650"/>
      <c r="U216" s="1650"/>
      <c r="V216" s="1650"/>
      <c r="W216" s="1650"/>
      <c r="X216" s="1650"/>
      <c r="Y216" s="1650"/>
      <c r="Z216" s="1650"/>
      <c r="AA216" s="1650"/>
      <c r="AB216" s="1650"/>
      <c r="AC216" s="1650"/>
      <c r="AD216" s="1650"/>
      <c r="AE216" s="1650"/>
      <c r="AF216" s="1650"/>
      <c r="AG216" s="1650"/>
      <c r="AH216" s="1650"/>
      <c r="AI216" s="1650"/>
      <c r="AJ216" s="1650"/>
      <c r="AK216" s="1650"/>
      <c r="AL216" s="1650"/>
      <c r="AM216" s="1650"/>
      <c r="AO216" s="1169"/>
      <c r="AP216" s="1645"/>
      <c r="AQ216" s="1645"/>
      <c r="AR216" s="1169"/>
      <c r="AS216" s="1169"/>
      <c r="AT216" s="1169"/>
      <c r="AU216" s="1169"/>
      <c r="AV216" s="1645"/>
      <c r="AW216" s="1169"/>
      <c r="AX216" s="1169"/>
      <c r="AY216" s="553"/>
      <c r="AZ216" s="1169"/>
      <c r="BA216" s="1169"/>
      <c r="BB216" s="1169"/>
      <c r="BC216" s="1169"/>
      <c r="BD216" s="1169"/>
      <c r="BE216" s="1641"/>
      <c r="BF216" s="575"/>
      <c r="BG216" s="575"/>
      <c r="BH216" s="575"/>
      <c r="BI216" s="575"/>
      <c r="BJ216" s="1650">
        <v>11</v>
      </c>
    </row>
    <row s="1650" customFormat="1" customHeight="1" ht="11.549999999999999">
      <c r="A217" s="996"/>
      <c r="B217" s="1645"/>
      <c r="C217" s="1645"/>
      <c r="D217" s="360"/>
      <c r="J217" s="1650"/>
      <c r="K217" s="1650"/>
      <c r="L217" s="1650"/>
      <c r="M217" s="1650"/>
      <c r="N217" s="1650"/>
      <c r="O217" s="1650"/>
      <c r="P217" s="1650"/>
      <c r="Q217" s="1650"/>
      <c r="R217" s="1650"/>
      <c r="S217" s="1650"/>
      <c r="T217" s="1650"/>
      <c r="U217" s="1650"/>
      <c r="V217" s="1650"/>
      <c r="W217" s="1650"/>
      <c r="X217" s="1650"/>
      <c r="Y217" s="1650"/>
      <c r="Z217" s="1650"/>
      <c r="AA217" s="1650"/>
      <c r="AB217" s="1650"/>
      <c r="AC217" s="1650"/>
      <c r="AD217" s="1650"/>
      <c r="AE217" s="1650"/>
      <c r="AF217" s="1650"/>
      <c r="AG217" s="1650"/>
      <c r="AH217" s="1650"/>
      <c r="AI217" s="1650"/>
      <c r="AJ217" s="1650"/>
      <c r="AK217" s="1650"/>
      <c r="AL217" s="1650"/>
      <c r="AM217" s="1650"/>
      <c r="AO217" s="1169"/>
      <c r="AP217" s="1645"/>
      <c r="AQ217" s="1645"/>
      <c r="AR217" s="1169"/>
      <c r="AS217" s="1169"/>
      <c r="AT217" s="1169"/>
      <c r="AU217" s="1169"/>
      <c r="AV217" s="1645"/>
      <c r="AW217" s="1169"/>
      <c r="AX217" s="1169"/>
      <c r="AY217" s="553"/>
      <c r="AZ217" s="1169"/>
      <c r="BA217" s="1169"/>
      <c r="BB217" s="1169"/>
      <c r="BC217" s="1169"/>
      <c r="BD217" s="1169"/>
      <c r="BE217" s="1641"/>
      <c r="BF217" s="575"/>
      <c r="BG217" s="575"/>
      <c r="BH217" s="575"/>
      <c r="BI217" s="575"/>
      <c r="BJ217" s="1650">
        <v>11</v>
      </c>
    </row>
    <row s="1650" customFormat="1" customHeight="1" ht="11.549999999999999">
      <c r="A218" s="996"/>
      <c r="B218" s="1645"/>
      <c r="C218" s="1645"/>
      <c r="D218" s="360"/>
      <c r="J218" s="1650"/>
      <c r="K218" s="1650"/>
      <c r="L218" s="1650"/>
      <c r="M218" s="1650"/>
      <c r="N218" s="1650"/>
      <c r="O218" s="1650"/>
      <c r="P218" s="1650"/>
      <c r="Q218" s="1650"/>
      <c r="R218" s="1650"/>
      <c r="S218" s="1650"/>
      <c r="T218" s="1650"/>
      <c r="U218" s="1650"/>
      <c r="V218" s="1650"/>
      <c r="W218" s="1650"/>
      <c r="X218" s="1650"/>
      <c r="Y218" s="1650"/>
      <c r="Z218" s="1650"/>
      <c r="AA218" s="1650"/>
      <c r="AB218" s="1650"/>
      <c r="AC218" s="1650"/>
      <c r="AD218" s="1650"/>
      <c r="AE218" s="1650"/>
      <c r="AF218" s="1650"/>
      <c r="AG218" s="1650"/>
      <c r="AH218" s="1650"/>
      <c r="AI218" s="1650"/>
      <c r="AJ218" s="1650"/>
      <c r="AK218" s="1650"/>
      <c r="AL218" s="1650"/>
      <c r="AM218" s="1650"/>
      <c r="AO218" s="1169"/>
      <c r="AP218" s="1645"/>
      <c r="AQ218" s="1645"/>
      <c r="AR218" s="1169"/>
      <c r="AS218" s="1169"/>
      <c r="AT218" s="1169"/>
      <c r="AU218" s="1169"/>
      <c r="AV218" s="1645"/>
      <c r="AW218" s="1169"/>
      <c r="AX218" s="1169"/>
      <c r="AY218" s="553"/>
      <c r="AZ218" s="1169"/>
      <c r="BA218" s="1169"/>
      <c r="BB218" s="1169"/>
      <c r="BC218" s="1169"/>
      <c r="BD218" s="1169"/>
      <c r="BE218" s="1641"/>
      <c r="BF218" s="575"/>
      <c r="BG218" s="575"/>
      <c r="BH218" s="575"/>
      <c r="BI218" s="575"/>
      <c r="BJ218" s="1650">
        <v>11</v>
      </c>
    </row>
    <row s="1650" customFormat="1" customHeight="1" ht="11.549999999999999">
      <c r="A219" s="996"/>
      <c r="B219" s="1645"/>
      <c r="C219" s="1645"/>
      <c r="D219" s="360"/>
      <c r="J219" s="1650"/>
      <c r="K219" s="1650"/>
      <c r="L219" s="1650"/>
      <c r="M219" s="1650"/>
      <c r="N219" s="1650"/>
      <c r="O219" s="1650"/>
      <c r="P219" s="1650"/>
      <c r="Q219" s="1650"/>
      <c r="R219" s="1650"/>
      <c r="S219" s="1650"/>
      <c r="T219" s="1650"/>
      <c r="U219" s="1650"/>
      <c r="V219" s="1650"/>
      <c r="W219" s="1650"/>
      <c r="X219" s="1650"/>
      <c r="Y219" s="1650"/>
      <c r="Z219" s="1650"/>
      <c r="AA219" s="1650"/>
      <c r="AB219" s="1650"/>
      <c r="AC219" s="1650"/>
      <c r="AD219" s="1650"/>
      <c r="AE219" s="1650"/>
      <c r="AF219" s="1650"/>
      <c r="AG219" s="1650"/>
      <c r="AH219" s="1650"/>
      <c r="AI219" s="1650"/>
      <c r="AJ219" s="1650"/>
      <c r="AK219" s="1650"/>
      <c r="AL219" s="1650"/>
      <c r="AM219" s="1650"/>
      <c r="AO219" s="1169"/>
      <c r="AP219" s="1645"/>
      <c r="AQ219" s="1645"/>
      <c r="AR219" s="1169"/>
      <c r="AS219" s="1169"/>
      <c r="AT219" s="1169"/>
      <c r="AU219" s="1169"/>
      <c r="AV219" s="1645"/>
      <c r="AW219" s="1169"/>
      <c r="AX219" s="1169"/>
      <c r="AY219" s="553"/>
      <c r="AZ219" s="1169"/>
      <c r="BA219" s="1169"/>
      <c r="BB219" s="1169"/>
      <c r="BC219" s="1169"/>
      <c r="BD219" s="1169"/>
      <c r="BE219" s="1641"/>
      <c r="BF219" s="575"/>
      <c r="BG219" s="575"/>
      <c r="BH219" s="575"/>
      <c r="BI219" s="575"/>
      <c r="BJ219" s="1650">
        <v>11</v>
      </c>
    </row>
    <row s="1650" customFormat="1" customHeight="1" ht="11.549999999999999">
      <c r="A220" s="996"/>
      <c r="B220" s="1645"/>
      <c r="C220" s="1645"/>
      <c r="D220" s="360"/>
      <c r="J220" s="1650"/>
      <c r="K220" s="1650"/>
      <c r="L220" s="1650"/>
      <c r="M220" s="1650"/>
      <c r="N220" s="1650"/>
      <c r="O220" s="1650"/>
      <c r="P220" s="1650"/>
      <c r="Q220" s="1650"/>
      <c r="R220" s="1650"/>
      <c r="S220" s="1650"/>
      <c r="T220" s="1650"/>
      <c r="U220" s="1650"/>
      <c r="V220" s="1650"/>
      <c r="W220" s="1650"/>
      <c r="X220" s="1650"/>
      <c r="Y220" s="1650"/>
      <c r="Z220" s="1650"/>
      <c r="AA220" s="1650"/>
      <c r="AB220" s="1650"/>
      <c r="AC220" s="1650"/>
      <c r="AD220" s="1650"/>
      <c r="AE220" s="1650"/>
      <c r="AF220" s="1650"/>
      <c r="AG220" s="1650"/>
      <c r="AH220" s="1650"/>
      <c r="AI220" s="1650"/>
      <c r="AJ220" s="1650"/>
      <c r="AK220" s="1650"/>
      <c r="AL220" s="1650"/>
      <c r="AM220" s="1650"/>
      <c r="AO220" s="1169"/>
      <c r="AP220" s="1645"/>
      <c r="AQ220" s="1645"/>
      <c r="AR220" s="1169"/>
      <c r="AS220" s="1169"/>
      <c r="AT220" s="1169"/>
      <c r="AU220" s="1169"/>
      <c r="AV220" s="1645"/>
      <c r="AW220" s="1169"/>
      <c r="AX220" s="1169"/>
      <c r="AY220" s="553"/>
      <c r="AZ220" s="1169"/>
      <c r="BA220" s="1169"/>
      <c r="BB220" s="1169"/>
      <c r="BC220" s="1169"/>
      <c r="BD220" s="1169"/>
      <c r="BE220" s="1641"/>
      <c r="BF220" s="575"/>
      <c r="BG220" s="575"/>
      <c r="BH220" s="575"/>
      <c r="BI220" s="575"/>
      <c r="BJ220" s="1650">
        <v>11</v>
      </c>
    </row>
    <row s="1650" customFormat="1" customHeight="1" ht="11.549999999999999">
      <c r="A221" s="996"/>
      <c r="B221" s="1645"/>
      <c r="C221" s="1645"/>
      <c r="D221" s="360"/>
      <c r="J221" s="1650"/>
      <c r="K221" s="1650"/>
      <c r="L221" s="1650"/>
      <c r="M221" s="1650"/>
      <c r="N221" s="1650"/>
      <c r="O221" s="1650"/>
      <c r="P221" s="1650"/>
      <c r="Q221" s="1650"/>
      <c r="R221" s="1650"/>
      <c r="S221" s="1650"/>
      <c r="T221" s="1650"/>
      <c r="U221" s="1650"/>
      <c r="V221" s="1650"/>
      <c r="W221" s="1650"/>
      <c r="X221" s="1650"/>
      <c r="Y221" s="1650"/>
      <c r="Z221" s="1650"/>
      <c r="AA221" s="1650"/>
      <c r="AB221" s="1650"/>
      <c r="AC221" s="1650"/>
      <c r="AD221" s="1650"/>
      <c r="AE221" s="1650"/>
      <c r="AF221" s="1650"/>
      <c r="AG221" s="1650"/>
      <c r="AH221" s="1650"/>
      <c r="AI221" s="1650"/>
      <c r="AJ221" s="1650"/>
      <c r="AK221" s="1650"/>
      <c r="AL221" s="1650"/>
      <c r="AM221" s="1650"/>
      <c r="AO221" s="1169"/>
      <c r="AP221" s="1645"/>
      <c r="AQ221" s="1645"/>
      <c r="AR221" s="1169"/>
      <c r="AS221" s="1169"/>
      <c r="AT221" s="1169"/>
      <c r="AU221" s="1169"/>
      <c r="AV221" s="1645"/>
      <c r="AW221" s="1169"/>
      <c r="AX221" s="1169"/>
      <c r="AY221" s="553"/>
      <c r="AZ221" s="1169"/>
      <c r="BA221" s="1169"/>
      <c r="BB221" s="1169"/>
      <c r="BC221" s="1169"/>
      <c r="BD221" s="1169"/>
      <c r="BE221" s="1641"/>
      <c r="BF221" s="575"/>
      <c r="BG221" s="575"/>
      <c r="BH221" s="575"/>
      <c r="BI221" s="575"/>
      <c r="BJ221" s="1650">
        <v>11</v>
      </c>
    </row>
    <row s="1650" customFormat="1" customHeight="1" ht="11.549999999999999">
      <c r="A222" s="996"/>
      <c r="B222" s="1645"/>
      <c r="C222" s="1645"/>
      <c r="D222" s="360"/>
      <c r="J222" s="1650"/>
      <c r="K222" s="1650"/>
      <c r="L222" s="1650"/>
      <c r="M222" s="1650"/>
      <c r="N222" s="1650"/>
      <c r="O222" s="1650"/>
      <c r="P222" s="1650"/>
      <c r="Q222" s="1650"/>
      <c r="R222" s="1650"/>
      <c r="S222" s="1650"/>
      <c r="T222" s="1650"/>
      <c r="U222" s="1650"/>
      <c r="V222" s="1650"/>
      <c r="W222" s="1650"/>
      <c r="X222" s="1650"/>
      <c r="Y222" s="1650"/>
      <c r="Z222" s="1650"/>
      <c r="AA222" s="1650"/>
      <c r="AB222" s="1650"/>
      <c r="AC222" s="1650"/>
      <c r="AD222" s="1650"/>
      <c r="AE222" s="1650"/>
      <c r="AF222" s="1650"/>
      <c r="AG222" s="1650"/>
      <c r="AH222" s="1650"/>
      <c r="AI222" s="1650"/>
      <c r="AJ222" s="1650"/>
      <c r="AK222" s="1650"/>
      <c r="AL222" s="1650"/>
      <c r="AM222" s="1650"/>
      <c r="AO222" s="1169"/>
      <c r="AP222" s="1645"/>
      <c r="AQ222" s="1645"/>
      <c r="AR222" s="1169"/>
      <c r="AS222" s="1169"/>
      <c r="AT222" s="1169"/>
      <c r="AU222" s="1169"/>
      <c r="AV222" s="1645"/>
      <c r="AW222" s="1169"/>
      <c r="AX222" s="1169"/>
      <c r="AY222" s="553"/>
      <c r="AZ222" s="1169"/>
      <c r="BA222" s="1169"/>
      <c r="BB222" s="1169"/>
      <c r="BC222" s="1169"/>
      <c r="BD222" s="1169"/>
      <c r="BE222" s="1641"/>
      <c r="BF222" s="575"/>
      <c r="BG222" s="575"/>
      <c r="BH222" s="575"/>
      <c r="BI222" s="575"/>
      <c r="BJ222" s="1650">
        <v>11</v>
      </c>
    </row>
    <row s="1650" customFormat="1" customHeight="1" ht="11.549999999999999">
      <c r="A223" s="996"/>
      <c r="B223" s="1645"/>
      <c r="C223" s="1645"/>
      <c r="D223" s="360"/>
      <c r="J223" s="1650"/>
      <c r="K223" s="1650"/>
      <c r="L223" s="1650"/>
      <c r="M223" s="1650"/>
      <c r="N223" s="1650"/>
      <c r="O223" s="1650"/>
      <c r="P223" s="1650"/>
      <c r="Q223" s="1650"/>
      <c r="R223" s="1650"/>
      <c r="S223" s="1650"/>
      <c r="T223" s="1650"/>
      <c r="U223" s="1650"/>
      <c r="V223" s="1650"/>
      <c r="W223" s="1650"/>
      <c r="X223" s="1650"/>
      <c r="Y223" s="1650"/>
      <c r="Z223" s="1650"/>
      <c r="AA223" s="1650"/>
      <c r="AB223" s="1650"/>
      <c r="AC223" s="1650"/>
      <c r="AD223" s="1650"/>
      <c r="AE223" s="1650"/>
      <c r="AF223" s="1650"/>
      <c r="AG223" s="1650"/>
      <c r="AH223" s="1650"/>
      <c r="AI223" s="1650"/>
      <c r="AJ223" s="1650"/>
      <c r="AK223" s="1650"/>
      <c r="AL223" s="1650"/>
      <c r="AM223" s="1650"/>
      <c r="AO223" s="1169"/>
      <c r="AP223" s="1645"/>
      <c r="AQ223" s="1645"/>
      <c r="AR223" s="1169"/>
      <c r="AS223" s="1169"/>
      <c r="AT223" s="1169"/>
      <c r="AU223" s="1169"/>
      <c r="AV223" s="1645"/>
      <c r="AW223" s="1169"/>
      <c r="AX223" s="1169"/>
      <c r="AY223" s="553"/>
      <c r="AZ223" s="1169"/>
      <c r="BA223" s="1169"/>
      <c r="BB223" s="1169"/>
      <c r="BC223" s="1169"/>
      <c r="BD223" s="1169"/>
      <c r="BE223" s="1641"/>
      <c r="BF223" s="575"/>
      <c r="BG223" s="575"/>
      <c r="BH223" s="575"/>
      <c r="BI223" s="575"/>
      <c r="BJ223" s="1650">
        <v>11</v>
      </c>
    </row>
    <row s="1650" customFormat="1" customHeight="1" ht="11.549999999999999">
      <c r="A224" s="996"/>
      <c r="B224" s="1645"/>
      <c r="C224" s="1645"/>
      <c r="D224" s="360"/>
      <c r="J224" s="1650"/>
      <c r="K224" s="1650"/>
      <c r="L224" s="1650"/>
      <c r="M224" s="1650"/>
      <c r="N224" s="1650"/>
      <c r="O224" s="1650"/>
      <c r="P224" s="1650"/>
      <c r="Q224" s="1650"/>
      <c r="R224" s="1650"/>
      <c r="S224" s="1650"/>
      <c r="T224" s="1650"/>
      <c r="U224" s="1650"/>
      <c r="V224" s="1650"/>
      <c r="W224" s="1650"/>
      <c r="X224" s="1650"/>
      <c r="Y224" s="1650"/>
      <c r="Z224" s="1650"/>
      <c r="AA224" s="1650"/>
      <c r="AB224" s="1650"/>
      <c r="AC224" s="1650"/>
      <c r="AD224" s="1650"/>
      <c r="AE224" s="1650"/>
      <c r="AF224" s="1650"/>
      <c r="AG224" s="1650"/>
      <c r="AH224" s="1650"/>
      <c r="AI224" s="1650"/>
      <c r="AJ224" s="1650"/>
      <c r="AK224" s="1650"/>
      <c r="AL224" s="1650"/>
      <c r="AM224" s="1650"/>
      <c r="AO224" s="1169"/>
      <c r="AP224" s="1645"/>
      <c r="AQ224" s="1645"/>
      <c r="AR224" s="1169"/>
      <c r="AS224" s="1169"/>
      <c r="AT224" s="1169"/>
      <c r="AU224" s="1169"/>
      <c r="AV224" s="1645"/>
      <c r="AW224" s="1169"/>
      <c r="AX224" s="1169"/>
      <c r="AY224" s="553"/>
      <c r="AZ224" s="1169"/>
      <c r="BA224" s="1169"/>
      <c r="BB224" s="1169"/>
      <c r="BC224" s="1169"/>
      <c r="BD224" s="1169"/>
      <c r="BE224" s="1641"/>
      <c r="BF224" s="575"/>
      <c r="BG224" s="575"/>
      <c r="BH224" s="575"/>
      <c r="BI224" s="575"/>
      <c r="BJ224" s="1650">
        <v>11</v>
      </c>
    </row>
    <row s="1650" customFormat="1" customHeight="1" ht="11.549999999999999">
      <c r="A225" s="996"/>
      <c r="B225" s="1645"/>
      <c r="C225" s="1645"/>
      <c r="D225" s="36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1650"/>
      <c r="AD225" s="1650"/>
      <c r="AE225" s="1650"/>
      <c r="AF225" s="1650"/>
      <c r="AG225" s="1650"/>
      <c r="AH225" s="1650"/>
      <c r="AI225" s="1650"/>
      <c r="AJ225" s="1650"/>
      <c r="AK225" s="1650"/>
      <c r="AL225" s="1650"/>
      <c r="AM225" s="1650"/>
      <c r="AO225" s="1169"/>
      <c r="AP225" s="1645"/>
      <c r="AQ225" s="1645"/>
      <c r="AR225" s="1169"/>
      <c r="AS225" s="1169"/>
      <c r="AT225" s="1169"/>
      <c r="AU225" s="1169"/>
      <c r="AV225" s="1645"/>
      <c r="AW225" s="1169"/>
      <c r="AX225" s="1169"/>
      <c r="AY225" s="553"/>
      <c r="AZ225" s="1169"/>
      <c r="BA225" s="1169"/>
      <c r="BB225" s="1169"/>
      <c r="BC225" s="1169"/>
      <c r="BD225" s="1169"/>
      <c r="BE225" s="1641"/>
      <c r="BF225" s="575"/>
      <c r="BG225" s="575"/>
      <c r="BH225" s="575"/>
      <c r="BI225" s="575"/>
      <c r="BJ225" s="1650">
        <v>11</v>
      </c>
    </row>
    <row s="1650" customFormat="1" customHeight="1" ht="11.549999999999999">
      <c r="A226" s="996"/>
      <c r="B226" s="1645"/>
      <c r="C226" s="1645"/>
      <c r="D226" s="360"/>
      <c r="J226" s="1650"/>
      <c r="K226" s="1650"/>
      <c r="L226" s="1650"/>
      <c r="M226" s="1650"/>
      <c r="N226" s="1650"/>
      <c r="O226" s="1650"/>
      <c r="P226" s="1650"/>
      <c r="Q226" s="1650"/>
      <c r="R226" s="1650"/>
      <c r="S226" s="1650"/>
      <c r="T226" s="1650"/>
      <c r="U226" s="1650"/>
      <c r="V226" s="1650"/>
      <c r="W226" s="1650"/>
      <c r="X226" s="1650"/>
      <c r="Y226" s="1650"/>
      <c r="Z226" s="1650"/>
      <c r="AA226" s="1650"/>
      <c r="AB226" s="1650"/>
      <c r="AC226" s="1650"/>
      <c r="AD226" s="1650"/>
      <c r="AE226" s="1650"/>
      <c r="AF226" s="1650"/>
      <c r="AG226" s="1650"/>
      <c r="AH226" s="1650"/>
      <c r="AI226" s="1650"/>
      <c r="AJ226" s="1650"/>
      <c r="AK226" s="1650"/>
      <c r="AL226" s="1650"/>
      <c r="AM226" s="1650"/>
      <c r="AO226" s="1169"/>
      <c r="AP226" s="1645"/>
      <c r="AQ226" s="1645"/>
      <c r="AR226" s="1169"/>
      <c r="AS226" s="1169"/>
      <c r="AT226" s="1169"/>
      <c r="AU226" s="1169"/>
      <c r="AV226" s="1645"/>
      <c r="AW226" s="1169"/>
      <c r="AX226" s="1169"/>
      <c r="AY226" s="553"/>
      <c r="AZ226" s="1169"/>
      <c r="BA226" s="1169"/>
      <c r="BB226" s="1169"/>
      <c r="BC226" s="1169"/>
      <c r="BD226" s="1169"/>
      <c r="BE226" s="1641"/>
      <c r="BF226" s="575"/>
      <c r="BG226" s="575"/>
      <c r="BH226" s="575"/>
      <c r="BI226" s="575"/>
      <c r="BJ226" s="1650">
        <v>11</v>
      </c>
    </row>
    <row s="1650" customFormat="1" customHeight="1" ht="11.549999999999999">
      <c r="A227" s="996"/>
      <c r="B227" s="1645"/>
      <c r="C227" s="1645"/>
      <c r="D227" s="360"/>
      <c r="J227" s="1650"/>
      <c r="K227" s="1650"/>
      <c r="L227" s="1650"/>
      <c r="M227" s="1650"/>
      <c r="N227" s="1650"/>
      <c r="O227" s="1650"/>
      <c r="P227" s="1650"/>
      <c r="Q227" s="1650"/>
      <c r="R227" s="1650"/>
      <c r="S227" s="1650"/>
      <c r="T227" s="1650"/>
      <c r="U227" s="1650"/>
      <c r="V227" s="1650"/>
      <c r="W227" s="1650"/>
      <c r="X227" s="1650"/>
      <c r="Y227" s="1650"/>
      <c r="Z227" s="1650"/>
      <c r="AA227" s="1650"/>
      <c r="AB227" s="1650"/>
      <c r="AC227" s="1650"/>
      <c r="AD227" s="1650"/>
      <c r="AE227" s="1650"/>
      <c r="AF227" s="1650"/>
      <c r="AG227" s="1650"/>
      <c r="AH227" s="1650"/>
      <c r="AI227" s="1650"/>
      <c r="AJ227" s="1650"/>
      <c r="AK227" s="1650"/>
      <c r="AL227" s="1650"/>
      <c r="AM227" s="1650"/>
      <c r="AO227" s="1169"/>
      <c r="AP227" s="1645"/>
      <c r="AQ227" s="1645"/>
      <c r="AR227" s="1169"/>
      <c r="AS227" s="1169"/>
      <c r="AT227" s="1169"/>
      <c r="AU227" s="1169"/>
      <c r="AV227" s="1645"/>
      <c r="AW227" s="1169"/>
      <c r="AX227" s="1169"/>
      <c r="AY227" s="553"/>
      <c r="AZ227" s="1169"/>
      <c r="BA227" s="1169"/>
      <c r="BB227" s="1169"/>
      <c r="BC227" s="1169"/>
      <c r="BD227" s="1169"/>
      <c r="BE227" s="1641"/>
      <c r="BF227" s="575"/>
      <c r="BG227" s="575"/>
      <c r="BH227" s="575"/>
      <c r="BI227" s="575"/>
      <c r="BJ227" s="1650">
        <v>11</v>
      </c>
    </row>
    <row s="1650" customFormat="1" customHeight="1" ht="11.549999999999999">
      <c r="A228" s="996"/>
      <c r="B228" s="1645"/>
      <c r="C228" s="1645"/>
      <c r="D228" s="360"/>
      <c r="J228" s="1650"/>
      <c r="K228" s="1650"/>
      <c r="L228" s="1650"/>
      <c r="M228" s="1650"/>
      <c r="N228" s="1650"/>
      <c r="O228" s="1650"/>
      <c r="P228" s="1650"/>
      <c r="Q228" s="1650"/>
      <c r="R228" s="1650"/>
      <c r="S228" s="1650"/>
      <c r="T228" s="1650"/>
      <c r="U228" s="1650"/>
      <c r="V228" s="1650"/>
      <c r="W228" s="1650"/>
      <c r="X228" s="1650"/>
      <c r="Y228" s="1650"/>
      <c r="Z228" s="1650"/>
      <c r="AA228" s="1650"/>
      <c r="AB228" s="1650"/>
      <c r="AC228" s="1650"/>
      <c r="AD228" s="1650"/>
      <c r="AE228" s="1650"/>
      <c r="AF228" s="1650"/>
      <c r="AG228" s="1650"/>
      <c r="AH228" s="1650"/>
      <c r="AI228" s="1650"/>
      <c r="AJ228" s="1650"/>
      <c r="AK228" s="1650"/>
      <c r="AL228" s="1650"/>
      <c r="AM228" s="1650"/>
      <c r="AO228" s="1169"/>
      <c r="AP228" s="1645"/>
      <c r="AQ228" s="1645"/>
      <c r="AR228" s="1169"/>
      <c r="AS228" s="1169"/>
      <c r="AT228" s="1169"/>
      <c r="AU228" s="1169"/>
      <c r="AV228" s="1645"/>
      <c r="AW228" s="1169"/>
      <c r="AX228" s="1169"/>
      <c r="AY228" s="553"/>
      <c r="AZ228" s="1169"/>
      <c r="BA228" s="1169"/>
      <c r="BB228" s="1169"/>
      <c r="BC228" s="1169"/>
      <c r="BD228" s="1169"/>
      <c r="BE228" s="1641"/>
      <c r="BF228" s="575"/>
      <c r="BG228" s="575"/>
      <c r="BH228" s="575"/>
      <c r="BI228" s="575"/>
      <c r="BJ228" s="1650">
        <v>11</v>
      </c>
    </row>
    <row s="1650" customFormat="1" customHeight="1" ht="11.549999999999999">
      <c r="A229" s="996"/>
      <c r="B229" s="1645"/>
      <c r="C229" s="1645"/>
      <c r="D229" s="360"/>
      <c r="J229" s="1650"/>
      <c r="K229" s="1650"/>
      <c r="L229" s="1650"/>
      <c r="M229" s="1650"/>
      <c r="N229" s="1650"/>
      <c r="O229" s="1650"/>
      <c r="P229" s="1650"/>
      <c r="Q229" s="1650"/>
      <c r="R229" s="1650"/>
      <c r="S229" s="1650"/>
      <c r="T229" s="1650"/>
      <c r="U229" s="1650"/>
      <c r="V229" s="1650"/>
      <c r="W229" s="1650"/>
      <c r="X229" s="1650"/>
      <c r="Y229" s="1650"/>
      <c r="Z229" s="1650"/>
      <c r="AA229" s="1650"/>
      <c r="AB229" s="1650"/>
      <c r="AC229" s="1650"/>
      <c r="AD229" s="1650"/>
      <c r="AE229" s="1650"/>
      <c r="AF229" s="1650"/>
      <c r="AG229" s="1650"/>
      <c r="AH229" s="1650"/>
      <c r="AI229" s="1650"/>
      <c r="AJ229" s="1650"/>
      <c r="AK229" s="1650"/>
      <c r="AL229" s="1650"/>
      <c r="AM229" s="1650"/>
      <c r="AO229" s="1169"/>
      <c r="AP229" s="1645"/>
      <c r="AQ229" s="1645"/>
      <c r="AR229" s="1169"/>
      <c r="AS229" s="1169"/>
      <c r="AT229" s="1169"/>
      <c r="AU229" s="1169"/>
      <c r="AV229" s="1645"/>
      <c r="AW229" s="1169"/>
      <c r="AX229" s="1169"/>
      <c r="AY229" s="553"/>
      <c r="AZ229" s="1169"/>
      <c r="BA229" s="1169"/>
      <c r="BB229" s="1169"/>
      <c r="BC229" s="1169"/>
      <c r="BD229" s="1169"/>
      <c r="BE229" s="1641"/>
      <c r="BF229" s="575"/>
      <c r="BG229" s="575"/>
      <c r="BH229" s="575"/>
      <c r="BI229" s="575"/>
      <c r="BJ229" s="1650">
        <v>11</v>
      </c>
    </row>
    <row s="1650" customFormat="1" customHeight="1" ht="11.549999999999999">
      <c r="A230" s="996"/>
      <c r="B230" s="1645"/>
      <c r="C230" s="1645"/>
      <c r="D230" s="360"/>
      <c r="J230" s="1650"/>
      <c r="K230" s="1650"/>
      <c r="L230" s="1650"/>
      <c r="M230" s="1650"/>
      <c r="N230" s="1650"/>
      <c r="O230" s="1650"/>
      <c r="P230" s="1650"/>
      <c r="Q230" s="1650"/>
      <c r="R230" s="1650"/>
      <c r="S230" s="1650"/>
      <c r="T230" s="1650"/>
      <c r="U230" s="1650"/>
      <c r="V230" s="1650"/>
      <c r="W230" s="1650"/>
      <c r="X230" s="1650"/>
      <c r="Y230" s="1650"/>
      <c r="Z230" s="1650"/>
      <c r="AA230" s="1650"/>
      <c r="AB230" s="1650"/>
      <c r="AC230" s="1650"/>
      <c r="AD230" s="1650"/>
      <c r="AE230" s="1650"/>
      <c r="AF230" s="1650"/>
      <c r="AG230" s="1650"/>
      <c r="AH230" s="1650"/>
      <c r="AI230" s="1650"/>
      <c r="AJ230" s="1650"/>
      <c r="AK230" s="1650"/>
      <c r="AL230" s="1650"/>
      <c r="AM230" s="1650"/>
      <c r="AO230" s="1169"/>
      <c r="AP230" s="1645"/>
      <c r="AQ230" s="1645"/>
      <c r="AR230" s="1169"/>
      <c r="AS230" s="1169"/>
      <c r="AT230" s="1169"/>
      <c r="AU230" s="1169"/>
      <c r="AV230" s="1645"/>
      <c r="AW230" s="1169"/>
      <c r="AX230" s="1169"/>
      <c r="AY230" s="553"/>
      <c r="AZ230" s="1169"/>
      <c r="BA230" s="1169"/>
      <c r="BB230" s="1169"/>
      <c r="BC230" s="1169"/>
      <c r="BD230" s="1169"/>
      <c r="BE230" s="1641"/>
      <c r="BF230" s="575"/>
      <c r="BG230" s="575"/>
      <c r="BH230" s="575"/>
      <c r="BI230" s="575"/>
      <c r="BJ230" s="1650">
        <v>11</v>
      </c>
    </row>
    <row s="1650" customFormat="1" customHeight="1" ht="11.549999999999999">
      <c r="A231" s="996"/>
      <c r="B231" s="1645"/>
      <c r="C231" s="1645"/>
      <c r="D231" s="360"/>
      <c r="J231" s="1650"/>
      <c r="K231" s="1650"/>
      <c r="L231" s="1650"/>
      <c r="M231" s="1650"/>
      <c r="N231" s="1650"/>
      <c r="O231" s="1650"/>
      <c r="P231" s="1650"/>
      <c r="Q231" s="1650"/>
      <c r="R231" s="1650"/>
      <c r="S231" s="1650"/>
      <c r="T231" s="1650"/>
      <c r="U231" s="1650"/>
      <c r="V231" s="1650"/>
      <c r="W231" s="1650"/>
      <c r="X231" s="1650"/>
      <c r="Y231" s="1650"/>
      <c r="Z231" s="1650"/>
      <c r="AA231" s="1650"/>
      <c r="AB231" s="1650"/>
      <c r="AC231" s="1650"/>
      <c r="AD231" s="1650"/>
      <c r="AE231" s="1650"/>
      <c r="AF231" s="1650"/>
      <c r="AG231" s="1650"/>
      <c r="AH231" s="1650"/>
      <c r="AI231" s="1650"/>
      <c r="AJ231" s="1650"/>
      <c r="AK231" s="1650"/>
      <c r="AL231" s="1650"/>
      <c r="AM231" s="1650"/>
      <c r="AO231" s="1169"/>
      <c r="AP231" s="1645"/>
      <c r="AQ231" s="1645"/>
      <c r="AR231" s="1169"/>
      <c r="AS231" s="1169"/>
      <c r="AT231" s="1169"/>
      <c r="AU231" s="1169"/>
      <c r="AV231" s="1645"/>
      <c r="AW231" s="1169"/>
      <c r="AX231" s="1169"/>
      <c r="AY231" s="553"/>
      <c r="AZ231" s="1169"/>
      <c r="BA231" s="1169"/>
      <c r="BB231" s="1169"/>
      <c r="BC231" s="1169"/>
      <c r="BD231" s="1169"/>
      <c r="BE231" s="1641"/>
      <c r="BF231" s="575"/>
      <c r="BG231" s="575"/>
      <c r="BH231" s="575"/>
      <c r="BI231" s="575"/>
      <c r="BJ231" s="1650">
        <v>11</v>
      </c>
    </row>
    <row s="1650" customFormat="1" customHeight="1" ht="11.549999999999999">
      <c r="A232" s="996"/>
      <c r="B232" s="1645"/>
      <c r="C232" s="1645"/>
      <c r="D232" s="360"/>
      <c r="J232" s="1650"/>
      <c r="K232" s="1650"/>
      <c r="L232" s="1650"/>
      <c r="M232" s="1650"/>
      <c r="N232" s="1650"/>
      <c r="O232" s="1650"/>
      <c r="P232" s="1650"/>
      <c r="Q232" s="1650"/>
      <c r="R232" s="1650"/>
      <c r="S232" s="1650"/>
      <c r="T232" s="1650"/>
      <c r="U232" s="1650"/>
      <c r="V232" s="1650"/>
      <c r="W232" s="1650"/>
      <c r="X232" s="1650"/>
      <c r="Y232" s="1650"/>
      <c r="Z232" s="1650"/>
      <c r="AA232" s="1650"/>
      <c r="AB232" s="1650"/>
      <c r="AC232" s="1650"/>
      <c r="AD232" s="1650"/>
      <c r="AE232" s="1650"/>
      <c r="AF232" s="1650"/>
      <c r="AG232" s="1650"/>
      <c r="AH232" s="1650"/>
      <c r="AI232" s="1650"/>
      <c r="AJ232" s="1650"/>
      <c r="AK232" s="1650"/>
      <c r="AL232" s="1650"/>
      <c r="AM232" s="1650"/>
      <c r="AO232" s="1169"/>
      <c r="AP232" s="1645"/>
      <c r="AQ232" s="1645"/>
      <c r="AR232" s="1169"/>
      <c r="AS232" s="1169"/>
      <c r="AT232" s="1169"/>
      <c r="AU232" s="1169"/>
      <c r="AV232" s="1645"/>
      <c r="AW232" s="1169"/>
      <c r="AX232" s="1169"/>
      <c r="AY232" s="553"/>
      <c r="AZ232" s="1169"/>
      <c r="BA232" s="1169"/>
      <c r="BB232" s="1169"/>
      <c r="BC232" s="1169"/>
      <c r="BD232" s="1169"/>
      <c r="BE232" s="1641"/>
      <c r="BF232" s="575"/>
      <c r="BG232" s="575"/>
      <c r="BH232" s="575"/>
      <c r="BI232" s="575"/>
      <c r="BJ232" s="1650">
        <v>11</v>
      </c>
    </row>
    <row s="1650" customFormat="1" customHeight="1" ht="11.549999999999999">
      <c r="A233" s="996"/>
      <c r="B233" s="1645"/>
      <c r="C233" s="1645"/>
      <c r="D233" s="360"/>
      <c r="J233" s="1650"/>
      <c r="K233" s="1650"/>
      <c r="L233" s="1650"/>
      <c r="M233" s="1650"/>
      <c r="N233" s="1650"/>
      <c r="O233" s="1650"/>
      <c r="P233" s="1650"/>
      <c r="Q233" s="1650"/>
      <c r="R233" s="1650"/>
      <c r="S233" s="1650"/>
      <c r="T233" s="1650"/>
      <c r="U233" s="1650"/>
      <c r="V233" s="1650"/>
      <c r="W233" s="1650"/>
      <c r="X233" s="1650"/>
      <c r="Y233" s="1650"/>
      <c r="Z233" s="1650"/>
      <c r="AA233" s="1650"/>
      <c r="AB233" s="1650"/>
      <c r="AC233" s="1650"/>
      <c r="AD233" s="1650"/>
      <c r="AE233" s="1650"/>
      <c r="AF233" s="1650"/>
      <c r="AG233" s="1650"/>
      <c r="AH233" s="1650"/>
      <c r="AI233" s="1650"/>
      <c r="AJ233" s="1650"/>
      <c r="AK233" s="1650"/>
      <c r="AL233" s="1650"/>
      <c r="AM233" s="1650"/>
      <c r="AO233" s="1169"/>
      <c r="AP233" s="1645"/>
      <c r="AQ233" s="1645"/>
      <c r="AR233" s="1169"/>
      <c r="AS233" s="1169"/>
      <c r="AT233" s="1169"/>
      <c r="AU233" s="1169"/>
      <c r="AV233" s="1645"/>
      <c r="AW233" s="1169"/>
      <c r="AX233" s="1169"/>
      <c r="AY233" s="553"/>
      <c r="AZ233" s="1169"/>
      <c r="BA233" s="1169"/>
      <c r="BB233" s="1169"/>
      <c r="BC233" s="1169"/>
      <c r="BD233" s="1169"/>
      <c r="BE233" s="1641"/>
      <c r="BF233" s="575"/>
      <c r="BG233" s="575"/>
      <c r="BH233" s="575"/>
      <c r="BI233" s="575"/>
      <c r="BJ233" s="1650">
        <v>11</v>
      </c>
    </row>
    <row s="1650" customFormat="1" customHeight="1" ht="11.549999999999999">
      <c r="A234" s="996"/>
      <c r="B234" s="1645"/>
      <c r="C234" s="1645"/>
      <c r="D234" s="360"/>
      <c r="J234" s="1650"/>
      <c r="K234" s="1650"/>
      <c r="L234" s="1650"/>
      <c r="M234" s="1650"/>
      <c r="N234" s="1650"/>
      <c r="O234" s="1650"/>
      <c r="P234" s="1650"/>
      <c r="Q234" s="1650"/>
      <c r="R234" s="1650"/>
      <c r="S234" s="1650"/>
      <c r="T234" s="1650"/>
      <c r="U234" s="1650"/>
      <c r="V234" s="1650"/>
      <c r="W234" s="1650"/>
      <c r="X234" s="1650"/>
      <c r="Y234" s="1650"/>
      <c r="Z234" s="1650"/>
      <c r="AA234" s="1650"/>
      <c r="AB234" s="1650"/>
      <c r="AC234" s="1650"/>
      <c r="AD234" s="1650"/>
      <c r="AE234" s="1650"/>
      <c r="AF234" s="1650"/>
      <c r="AG234" s="1650"/>
      <c r="AH234" s="1650"/>
      <c r="AI234" s="1650"/>
      <c r="AJ234" s="1650"/>
      <c r="AK234" s="1650"/>
      <c r="AL234" s="1650"/>
      <c r="AM234" s="1650"/>
      <c r="AO234" s="1169"/>
      <c r="AP234" s="1645"/>
      <c r="AQ234" s="1645"/>
      <c r="AR234" s="1169"/>
      <c r="AS234" s="1169"/>
      <c r="AT234" s="1169"/>
      <c r="AU234" s="1169"/>
      <c r="AV234" s="1645"/>
      <c r="AW234" s="1169"/>
      <c r="AX234" s="1169"/>
      <c r="AY234" s="553"/>
      <c r="AZ234" s="1169"/>
      <c r="BA234" s="1169"/>
      <c r="BB234" s="1169"/>
      <c r="BC234" s="1169"/>
      <c r="BD234" s="1169"/>
      <c r="BE234" s="1641"/>
      <c r="BF234" s="575"/>
      <c r="BG234" s="575"/>
      <c r="BH234" s="575"/>
      <c r="BI234" s="575"/>
      <c r="BJ234" s="1650">
        <v>11</v>
      </c>
    </row>
    <row s="1650" customFormat="1" customHeight="1" ht="11.549999999999999">
      <c r="A235" s="996"/>
      <c r="B235" s="1645"/>
      <c r="C235" s="1645"/>
      <c r="D235" s="360"/>
      <c r="J235" s="1650"/>
      <c r="K235" s="1650"/>
      <c r="L235" s="1650"/>
      <c r="M235" s="1650"/>
      <c r="N235" s="1650"/>
      <c r="O235" s="1650"/>
      <c r="P235" s="1650"/>
      <c r="Q235" s="1650"/>
      <c r="R235" s="1650"/>
      <c r="S235" s="1650"/>
      <c r="T235" s="1650"/>
      <c r="U235" s="1650"/>
      <c r="V235" s="1650"/>
      <c r="W235" s="1650"/>
      <c r="X235" s="1650"/>
      <c r="Y235" s="1650"/>
      <c r="Z235" s="1650"/>
      <c r="AA235" s="1650"/>
      <c r="AB235" s="1650"/>
      <c r="AC235" s="1650"/>
      <c r="AD235" s="1650"/>
      <c r="AE235" s="1650"/>
      <c r="AF235" s="1650"/>
      <c r="AG235" s="1650"/>
      <c r="AH235" s="1650"/>
      <c r="AI235" s="1650"/>
      <c r="AJ235" s="1650"/>
      <c r="AK235" s="1650"/>
      <c r="AL235" s="1650"/>
      <c r="AM235" s="1650"/>
      <c r="AO235" s="1169"/>
      <c r="AP235" s="1645"/>
      <c r="AQ235" s="1645"/>
      <c r="AR235" s="1169"/>
      <c r="AS235" s="1169"/>
      <c r="AT235" s="1169"/>
      <c r="AU235" s="1169"/>
      <c r="AV235" s="1645"/>
      <c r="AW235" s="1169"/>
      <c r="AX235" s="1169"/>
      <c r="AY235" s="553"/>
      <c r="AZ235" s="1169"/>
      <c r="BA235" s="1169"/>
      <c r="BB235" s="1169"/>
      <c r="BC235" s="1169"/>
      <c r="BD235" s="1169"/>
      <c r="BE235" s="1641"/>
      <c r="BF235" s="575"/>
      <c r="BG235" s="575"/>
      <c r="BH235" s="575"/>
      <c r="BI235" s="575"/>
      <c r="BJ235" s="1650">
        <v>11</v>
      </c>
    </row>
    <row s="1650" customFormat="1" customHeight="1" ht="11.549999999999999">
      <c r="A236" s="996"/>
      <c r="B236" s="1645"/>
      <c r="C236" s="1645"/>
      <c r="D236" s="360"/>
      <c r="J236" s="1650"/>
      <c r="K236" s="1650"/>
      <c r="L236" s="1650"/>
      <c r="M236" s="1650"/>
      <c r="N236" s="1650"/>
      <c r="O236" s="1650"/>
      <c r="P236" s="1650"/>
      <c r="Q236" s="1650"/>
      <c r="R236" s="1650"/>
      <c r="S236" s="1650"/>
      <c r="T236" s="1650"/>
      <c r="U236" s="1650"/>
      <c r="V236" s="1650"/>
      <c r="W236" s="1650"/>
      <c r="X236" s="1650"/>
      <c r="Y236" s="1650"/>
      <c r="Z236" s="1650"/>
      <c r="AA236" s="1650"/>
      <c r="AB236" s="1650"/>
      <c r="AC236" s="1650"/>
      <c r="AD236" s="1650"/>
      <c r="AE236" s="1650"/>
      <c r="AF236" s="1650"/>
      <c r="AG236" s="1650"/>
      <c r="AH236" s="1650"/>
      <c r="AI236" s="1650"/>
      <c r="AJ236" s="1650"/>
      <c r="AK236" s="1650"/>
      <c r="AL236" s="1650"/>
      <c r="AM236" s="1650"/>
      <c r="AO236" s="1169"/>
      <c r="AP236" s="1645"/>
      <c r="AQ236" s="1645"/>
      <c r="AR236" s="1169"/>
      <c r="AS236" s="1169"/>
      <c r="AT236" s="1169"/>
      <c r="AU236" s="1169"/>
      <c r="AV236" s="1645"/>
      <c r="AW236" s="1169"/>
      <c r="AX236" s="1169"/>
      <c r="AY236" s="553"/>
      <c r="AZ236" s="1169"/>
      <c r="BA236" s="1169"/>
      <c r="BB236" s="1169"/>
      <c r="BC236" s="1169"/>
      <c r="BD236" s="1169"/>
      <c r="BE236" s="1641"/>
      <c r="BF236" s="575"/>
      <c r="BG236" s="575"/>
      <c r="BH236" s="575"/>
      <c r="BI236" s="575"/>
      <c r="BJ236" s="1650">
        <v>11</v>
      </c>
    </row>
    <row s="1650" customFormat="1" customHeight="1" ht="11.549999999999999">
      <c r="A237" s="996"/>
      <c r="B237" s="1645"/>
      <c r="C237" s="1645"/>
      <c r="D237" s="360"/>
      <c r="J237" s="1650"/>
      <c r="K237" s="1650"/>
      <c r="L237" s="1650"/>
      <c r="M237" s="1650"/>
      <c r="N237" s="1650"/>
      <c r="O237" s="1650"/>
      <c r="P237" s="1650"/>
      <c r="Q237" s="1650"/>
      <c r="R237" s="1650"/>
      <c r="S237" s="1650"/>
      <c r="T237" s="1650"/>
      <c r="U237" s="1650"/>
      <c r="V237" s="1650"/>
      <c r="W237" s="1650"/>
      <c r="X237" s="1650"/>
      <c r="Y237" s="1650"/>
      <c r="Z237" s="1650"/>
      <c r="AA237" s="1650"/>
      <c r="AB237" s="1650"/>
      <c r="AC237" s="1650"/>
      <c r="AD237" s="1650"/>
      <c r="AE237" s="1650"/>
      <c r="AF237" s="1650"/>
      <c r="AG237" s="1650"/>
      <c r="AH237" s="1650"/>
      <c r="AI237" s="1650"/>
      <c r="AJ237" s="1650"/>
      <c r="AK237" s="1650"/>
      <c r="AL237" s="1650"/>
      <c r="AM237" s="1650"/>
      <c r="AO237" s="1169"/>
      <c r="AP237" s="1645"/>
      <c r="AQ237" s="1645"/>
      <c r="AR237" s="1169"/>
      <c r="AS237" s="1169"/>
      <c r="AT237" s="1169"/>
      <c r="AU237" s="1169"/>
      <c r="AV237" s="1645"/>
      <c r="AW237" s="1169"/>
      <c r="AX237" s="1169"/>
      <c r="AY237" s="553"/>
      <c r="AZ237" s="1169"/>
      <c r="BA237" s="1169"/>
      <c r="BB237" s="1169"/>
      <c r="BC237" s="1169"/>
      <c r="BD237" s="1169"/>
      <c r="BE237" s="1641"/>
      <c r="BF237" s="575"/>
      <c r="BG237" s="575"/>
      <c r="BH237" s="575"/>
      <c r="BI237" s="575"/>
      <c r="BJ237" s="1650">
        <v>11</v>
      </c>
    </row>
    <row s="1650" customFormat="1" customHeight="1" ht="11.549999999999999">
      <c r="A238" s="996"/>
      <c r="B238" s="1645"/>
      <c r="C238" s="1645"/>
      <c r="D238" s="360"/>
      <c r="J238" s="1650"/>
      <c r="K238" s="1650"/>
      <c r="L238" s="1650"/>
      <c r="M238" s="1650"/>
      <c r="N238" s="1650"/>
      <c r="O238" s="1650"/>
      <c r="P238" s="1650"/>
      <c r="Q238" s="1650"/>
      <c r="R238" s="1650"/>
      <c r="S238" s="1650"/>
      <c r="T238" s="1650"/>
      <c r="U238" s="1650"/>
      <c r="V238" s="1650"/>
      <c r="W238" s="1650"/>
      <c r="X238" s="1650"/>
      <c r="Y238" s="1650"/>
      <c r="Z238" s="1650"/>
      <c r="AA238" s="1650"/>
      <c r="AB238" s="1650"/>
      <c r="AC238" s="1650"/>
      <c r="AD238" s="1650"/>
      <c r="AE238" s="1650"/>
      <c r="AF238" s="1650"/>
      <c r="AG238" s="1650"/>
      <c r="AH238" s="1650"/>
      <c r="AI238" s="1650"/>
      <c r="AJ238" s="1650"/>
      <c r="AK238" s="1650"/>
      <c r="AL238" s="1650"/>
      <c r="AM238" s="1650"/>
      <c r="AO238" s="1169"/>
      <c r="AP238" s="1645"/>
      <c r="AQ238" s="1645"/>
      <c r="AR238" s="1169"/>
      <c r="AS238" s="1169"/>
      <c r="AT238" s="1169"/>
      <c r="AU238" s="1169"/>
      <c r="AV238" s="1645"/>
      <c r="AW238" s="1169"/>
      <c r="AX238" s="1169"/>
      <c r="AY238" s="553"/>
      <c r="AZ238" s="1169"/>
      <c r="BA238" s="1169"/>
      <c r="BB238" s="1169"/>
      <c r="BC238" s="1169"/>
      <c r="BD238" s="1169"/>
      <c r="BE238" s="1641"/>
      <c r="BF238" s="575"/>
      <c r="BG238" s="575"/>
      <c r="BH238" s="575"/>
      <c r="BI238" s="575"/>
      <c r="BJ238" s="1650">
        <v>11</v>
      </c>
    </row>
    <row s="1650" customFormat="1" customHeight="1" ht="11.549999999999999">
      <c r="A239" s="996"/>
      <c r="B239" s="1645"/>
      <c r="C239" s="1645"/>
      <c r="D239" s="360"/>
      <c r="J239" s="1650"/>
      <c r="K239" s="1650"/>
      <c r="L239" s="1650"/>
      <c r="M239" s="1650"/>
      <c r="N239" s="1650"/>
      <c r="O239" s="1650"/>
      <c r="P239" s="1650"/>
      <c r="Q239" s="1650"/>
      <c r="R239" s="1650"/>
      <c r="S239" s="1650"/>
      <c r="T239" s="1650"/>
      <c r="U239" s="1650"/>
      <c r="V239" s="1650"/>
      <c r="W239" s="1650"/>
      <c r="X239" s="1650"/>
      <c r="Y239" s="1650"/>
      <c r="Z239" s="1650"/>
      <c r="AA239" s="1650"/>
      <c r="AB239" s="1650"/>
      <c r="AC239" s="1650"/>
      <c r="AD239" s="1650"/>
      <c r="AE239" s="1650"/>
      <c r="AF239" s="1650"/>
      <c r="AG239" s="1650"/>
      <c r="AH239" s="1650"/>
      <c r="AI239" s="1650"/>
      <c r="AJ239" s="1650"/>
      <c r="AK239" s="1650"/>
      <c r="AL239" s="1650"/>
      <c r="AM239" s="1650"/>
      <c r="AO239" s="1169"/>
      <c r="AP239" s="1645"/>
      <c r="AQ239" s="1645"/>
      <c r="AR239" s="1169"/>
      <c r="AS239" s="1169"/>
      <c r="AT239" s="1169"/>
      <c r="AU239" s="1169"/>
      <c r="AV239" s="1645"/>
      <c r="AW239" s="1169"/>
      <c r="AX239" s="1169"/>
      <c r="AY239" s="553"/>
      <c r="AZ239" s="1169"/>
      <c r="BA239" s="1169"/>
      <c r="BB239" s="1169"/>
      <c r="BC239" s="1169"/>
      <c r="BD239" s="1169"/>
      <c r="BE239" s="1641"/>
      <c r="BF239" s="575"/>
      <c r="BG239" s="575"/>
      <c r="BH239" s="575"/>
      <c r="BI239" s="575"/>
      <c r="BJ239" s="1650">
        <v>11</v>
      </c>
    </row>
    <row s="1650" customFormat="1" customHeight="1" ht="11.549999999999999">
      <c r="A240" s="996"/>
      <c r="B240" s="1645"/>
      <c r="C240" s="1645"/>
      <c r="D240" s="360"/>
      <c r="J240" s="1650"/>
      <c r="K240" s="1650"/>
      <c r="L240" s="1650"/>
      <c r="M240" s="1650"/>
      <c r="N240" s="1650"/>
      <c r="O240" s="1650"/>
      <c r="P240" s="1650"/>
      <c r="Q240" s="1650"/>
      <c r="R240" s="1650"/>
      <c r="S240" s="1650"/>
      <c r="T240" s="1650"/>
      <c r="U240" s="1650"/>
      <c r="V240" s="1650"/>
      <c r="W240" s="1650"/>
      <c r="X240" s="1650"/>
      <c r="Y240" s="1650"/>
      <c r="Z240" s="1650"/>
      <c r="AA240" s="1650"/>
      <c r="AB240" s="1650"/>
      <c r="AC240" s="1650"/>
      <c r="AD240" s="1650"/>
      <c r="AE240" s="1650"/>
      <c r="AF240" s="1650"/>
      <c r="AG240" s="1650"/>
      <c r="AH240" s="1650"/>
      <c r="AI240" s="1650"/>
      <c r="AJ240" s="1650"/>
      <c r="AK240" s="1650"/>
      <c r="AL240" s="1650"/>
      <c r="AM240" s="1650"/>
      <c r="AO240" s="1169"/>
      <c r="AP240" s="1645"/>
      <c r="AQ240" s="1645"/>
      <c r="AR240" s="1169"/>
      <c r="AS240" s="1169"/>
      <c r="AT240" s="1169"/>
      <c r="AU240" s="1169"/>
      <c r="AV240" s="1645"/>
      <c r="AW240" s="1169"/>
      <c r="AX240" s="1169"/>
      <c r="AY240" s="553"/>
      <c r="AZ240" s="1169"/>
      <c r="BA240" s="1169"/>
      <c r="BB240" s="1169"/>
      <c r="BC240" s="1169"/>
      <c r="BD240" s="1169"/>
      <c r="BE240" s="1641"/>
      <c r="BF240" s="575"/>
      <c r="BG240" s="575"/>
      <c r="BH240" s="575"/>
      <c r="BI240" s="575"/>
      <c r="BJ240" s="1650">
        <v>11</v>
      </c>
    </row>
    <row s="1650" customFormat="1" customHeight="1" ht="11.549999999999999">
      <c r="A241" s="996"/>
      <c r="B241" s="1645"/>
      <c r="C241" s="1645"/>
      <c r="D241" s="360"/>
      <c r="J241" s="1650"/>
      <c r="K241" s="1650"/>
      <c r="L241" s="1650"/>
      <c r="M241" s="1650"/>
      <c r="N241" s="1650"/>
      <c r="O241" s="1650"/>
      <c r="P241" s="1650"/>
      <c r="Q241" s="1650"/>
      <c r="R241" s="1650"/>
      <c r="S241" s="1650"/>
      <c r="T241" s="1650"/>
      <c r="U241" s="1650"/>
      <c r="V241" s="1650"/>
      <c r="W241" s="1650"/>
      <c r="X241" s="1650"/>
      <c r="Y241" s="1650"/>
      <c r="Z241" s="1650"/>
      <c r="AA241" s="1650"/>
      <c r="AB241" s="1650"/>
      <c r="AC241" s="1650"/>
      <c r="AD241" s="1650"/>
      <c r="AE241" s="1650"/>
      <c r="AF241" s="1650"/>
      <c r="AG241" s="1650"/>
      <c r="AH241" s="1650"/>
      <c r="AI241" s="1650"/>
      <c r="AJ241" s="1650"/>
      <c r="AK241" s="1650"/>
      <c r="AL241" s="1650"/>
      <c r="AM241" s="1650"/>
      <c r="AO241" s="1169"/>
      <c r="AP241" s="1645"/>
      <c r="AQ241" s="1645"/>
      <c r="AR241" s="1169"/>
      <c r="AS241" s="1169"/>
      <c r="AT241" s="1169"/>
      <c r="AU241" s="1169"/>
      <c r="AV241" s="1645"/>
      <c r="AW241" s="1169"/>
      <c r="AX241" s="1169"/>
      <c r="AY241" s="553"/>
      <c r="AZ241" s="1169"/>
      <c r="BA241" s="1169"/>
      <c r="BB241" s="1169"/>
      <c r="BC241" s="1169"/>
      <c r="BD241" s="1169"/>
      <c r="BE241" s="1641"/>
      <c r="BF241" s="575"/>
      <c r="BG241" s="575"/>
      <c r="BH241" s="575"/>
      <c r="BI241" s="575"/>
      <c r="BJ241" s="1650">
        <v>11</v>
      </c>
    </row>
    <row s="1650" customFormat="1" customHeight="1" ht="11.549999999999999">
      <c r="A242" s="996"/>
      <c r="B242" s="1645"/>
      <c r="C242" s="1645"/>
      <c r="D242" s="360"/>
      <c r="J242" s="1650"/>
      <c r="K242" s="1650"/>
      <c r="L242" s="1650"/>
      <c r="M242" s="1650"/>
      <c r="N242" s="1650"/>
      <c r="O242" s="1650"/>
      <c r="P242" s="1650"/>
      <c r="Q242" s="1650"/>
      <c r="R242" s="1650"/>
      <c r="S242" s="1650"/>
      <c r="T242" s="1650"/>
      <c r="U242" s="1650"/>
      <c r="V242" s="1650"/>
      <c r="W242" s="1650"/>
      <c r="X242" s="1650"/>
      <c r="Y242" s="1650"/>
      <c r="Z242" s="1650"/>
      <c r="AA242" s="1650"/>
      <c r="AB242" s="1650"/>
      <c r="AC242" s="1650"/>
      <c r="AD242" s="1650"/>
      <c r="AE242" s="1650"/>
      <c r="AF242" s="1650"/>
      <c r="AG242" s="1650"/>
      <c r="AH242" s="1650"/>
      <c r="AI242" s="1650"/>
      <c r="AJ242" s="1650"/>
      <c r="AK242" s="1650"/>
      <c r="AL242" s="1650"/>
      <c r="AM242" s="1650"/>
      <c r="AO242" s="1169"/>
      <c r="AP242" s="1645"/>
      <c r="AQ242" s="1645"/>
      <c r="AR242" s="1169"/>
      <c r="AS242" s="1169"/>
      <c r="AT242" s="1169"/>
      <c r="AU242" s="1169"/>
      <c r="AV242" s="1645"/>
      <c r="AW242" s="1169"/>
      <c r="AX242" s="1169"/>
      <c r="AY242" s="553"/>
      <c r="AZ242" s="1169"/>
      <c r="BA242" s="1169"/>
      <c r="BB242" s="1169"/>
      <c r="BC242" s="1169"/>
      <c r="BD242" s="1169"/>
      <c r="BE242" s="1641"/>
      <c r="BF242" s="575"/>
      <c r="BG242" s="575"/>
      <c r="BH242" s="575"/>
      <c r="BI242" s="575"/>
      <c r="BJ242" s="1650">
        <v>11</v>
      </c>
    </row>
    <row s="1650" customFormat="1" customHeight="1" ht="11.549999999999999">
      <c r="A243" s="996"/>
      <c r="B243" s="1645"/>
      <c r="C243" s="1645"/>
      <c r="D243" s="360"/>
      <c r="J243" s="1650"/>
      <c r="K243" s="1650"/>
      <c r="L243" s="1650"/>
      <c r="M243" s="1650"/>
      <c r="N243" s="1650"/>
      <c r="O243" s="1650"/>
      <c r="P243" s="1650"/>
      <c r="Q243" s="1650"/>
      <c r="R243" s="1650"/>
      <c r="S243" s="1650"/>
      <c r="T243" s="1650"/>
      <c r="U243" s="1650"/>
      <c r="V243" s="1650"/>
      <c r="W243" s="1650"/>
      <c r="X243" s="1650"/>
      <c r="Y243" s="1650"/>
      <c r="Z243" s="1650"/>
      <c r="AA243" s="1650"/>
      <c r="AB243" s="1650"/>
      <c r="AC243" s="1650"/>
      <c r="AD243" s="1650"/>
      <c r="AE243" s="1650"/>
      <c r="AF243" s="1650"/>
      <c r="AG243" s="1650"/>
      <c r="AH243" s="1650"/>
      <c r="AI243" s="1650"/>
      <c r="AJ243" s="1650"/>
      <c r="AK243" s="1650"/>
      <c r="AL243" s="1650"/>
      <c r="AM243" s="1650"/>
      <c r="AO243" s="1169"/>
      <c r="AP243" s="1645"/>
      <c r="AQ243" s="1645"/>
      <c r="AR243" s="1169"/>
      <c r="AS243" s="1169"/>
      <c r="AT243" s="1169"/>
      <c r="AU243" s="1169"/>
      <c r="AV243" s="1645"/>
      <c r="AW243" s="1169"/>
      <c r="AX243" s="1169"/>
      <c r="AY243" s="553"/>
      <c r="AZ243" s="1169"/>
      <c r="BA243" s="1169"/>
      <c r="BB243" s="1169"/>
      <c r="BC243" s="1169"/>
      <c r="BD243" s="1169"/>
      <c r="BE243" s="1641"/>
      <c r="BF243" s="575"/>
      <c r="BG243" s="575"/>
      <c r="BH243" s="575"/>
      <c r="BI243" s="575"/>
      <c r="BJ243" s="1650">
        <v>11</v>
      </c>
    </row>
    <row s="1650" customFormat="1" customHeight="1" ht="11.549999999999999">
      <c r="A244" s="996"/>
      <c r="B244" s="1645"/>
      <c r="C244" s="1645"/>
      <c r="D244" s="360"/>
      <c r="J244" s="1650"/>
      <c r="K244" s="1650"/>
      <c r="L244" s="1650"/>
      <c r="M244" s="1650"/>
      <c r="N244" s="1650"/>
      <c r="O244" s="1650"/>
      <c r="P244" s="1650"/>
      <c r="Q244" s="1650"/>
      <c r="R244" s="1650"/>
      <c r="S244" s="1650"/>
      <c r="T244" s="1650"/>
      <c r="U244" s="1650"/>
      <c r="V244" s="1650"/>
      <c r="W244" s="1650"/>
      <c r="X244" s="1650"/>
      <c r="Y244" s="1650"/>
      <c r="Z244" s="1650"/>
      <c r="AA244" s="1650"/>
      <c r="AB244" s="1650"/>
      <c r="AC244" s="1650"/>
      <c r="AD244" s="1650"/>
      <c r="AE244" s="1650"/>
      <c r="AF244" s="1650"/>
      <c r="AG244" s="1650"/>
      <c r="AH244" s="1650"/>
      <c r="AI244" s="1650"/>
      <c r="AJ244" s="1650"/>
      <c r="AK244" s="1650"/>
      <c r="AL244" s="1650"/>
      <c r="AM244" s="1650"/>
      <c r="AO244" s="1169"/>
      <c r="AP244" s="1645"/>
      <c r="AQ244" s="1645"/>
      <c r="AR244" s="1169"/>
      <c r="AS244" s="1169"/>
      <c r="AT244" s="1169"/>
      <c r="AU244" s="1169"/>
      <c r="AV244" s="1645"/>
      <c r="AW244" s="1169"/>
      <c r="AX244" s="1169"/>
      <c r="AY244" s="553"/>
      <c r="AZ244" s="1169"/>
      <c r="BA244" s="1169"/>
      <c r="BB244" s="1169"/>
      <c r="BC244" s="1169"/>
      <c r="BD244" s="1169"/>
      <c r="BE244" s="1641"/>
      <c r="BF244" s="575"/>
      <c r="BG244" s="575"/>
      <c r="BH244" s="575"/>
      <c r="BI244" s="575"/>
      <c r="BJ244" s="1650">
        <v>11</v>
      </c>
    </row>
    <row s="1650" customFormat="1" customHeight="1" ht="11.549999999999999">
      <c r="A245" s="996"/>
      <c r="B245" s="1645"/>
      <c r="C245" s="1645"/>
      <c r="D245" s="360"/>
      <c r="J245" s="1650"/>
      <c r="K245" s="1650"/>
      <c r="L245" s="1650"/>
      <c r="M245" s="1650"/>
      <c r="N245" s="1650"/>
      <c r="O245" s="1650"/>
      <c r="P245" s="1650"/>
      <c r="Q245" s="1650"/>
      <c r="R245" s="1650"/>
      <c r="S245" s="1650"/>
      <c r="T245" s="1650"/>
      <c r="U245" s="1650"/>
      <c r="V245" s="1650"/>
      <c r="W245" s="1650"/>
      <c r="X245" s="1650"/>
      <c r="Y245" s="1650"/>
      <c r="Z245" s="1650"/>
      <c r="AA245" s="1650"/>
      <c r="AB245" s="1650"/>
      <c r="AC245" s="1650"/>
      <c r="AD245" s="1650"/>
      <c r="AE245" s="1650"/>
      <c r="AF245" s="1650"/>
      <c r="AG245" s="1650"/>
      <c r="AH245" s="1650"/>
      <c r="AI245" s="1650"/>
      <c r="AJ245" s="1650"/>
      <c r="AK245" s="1650"/>
      <c r="AL245" s="1650"/>
      <c r="AM245" s="1650"/>
      <c r="AO245" s="1169"/>
      <c r="AP245" s="1645"/>
      <c r="AQ245" s="1645"/>
      <c r="AR245" s="1169"/>
      <c r="AS245" s="1169"/>
      <c r="AT245" s="1169"/>
      <c r="AU245" s="1169"/>
      <c r="AV245" s="1645"/>
      <c r="AW245" s="1169"/>
      <c r="AX245" s="1169"/>
      <c r="AY245" s="553"/>
      <c r="AZ245" s="1169"/>
      <c r="BA245" s="1169"/>
      <c r="BB245" s="1169"/>
      <c r="BC245" s="1169"/>
      <c r="BD245" s="1169"/>
      <c r="BE245" s="1641"/>
      <c r="BF245" s="575"/>
      <c r="BG245" s="575"/>
      <c r="BH245" s="575"/>
      <c r="BI245" s="575"/>
      <c r="BJ245" s="1650">
        <v>11</v>
      </c>
    </row>
    <row s="1650" customFormat="1" customHeight="1" ht="11.549999999999999">
      <c r="A246" s="996"/>
      <c r="B246" s="1645"/>
      <c r="C246" s="1645"/>
      <c r="D246" s="360"/>
      <c r="J246" s="1650"/>
      <c r="K246" s="1650"/>
      <c r="L246" s="1650"/>
      <c r="M246" s="1650"/>
      <c r="N246" s="1650"/>
      <c r="O246" s="1650"/>
      <c r="P246" s="1650"/>
      <c r="Q246" s="1650"/>
      <c r="R246" s="1650"/>
      <c r="S246" s="1650"/>
      <c r="T246" s="1650"/>
      <c r="U246" s="1650"/>
      <c r="V246" s="1650"/>
      <c r="W246" s="1650"/>
      <c r="X246" s="1650"/>
      <c r="Y246" s="1650"/>
      <c r="Z246" s="1650"/>
      <c r="AA246" s="1650"/>
      <c r="AB246" s="1650"/>
      <c r="AC246" s="1650"/>
      <c r="AD246" s="1650"/>
      <c r="AE246" s="1650"/>
      <c r="AF246" s="1650"/>
      <c r="AG246" s="1650"/>
      <c r="AH246" s="1650"/>
      <c r="AI246" s="1650"/>
      <c r="AJ246" s="1650"/>
      <c r="AK246" s="1650"/>
      <c r="AL246" s="1650"/>
      <c r="AM246" s="1650"/>
      <c r="AO246" s="1169"/>
      <c r="AP246" s="1645"/>
      <c r="AQ246" s="1645"/>
      <c r="AR246" s="1169"/>
      <c r="AS246" s="1169"/>
      <c r="AT246" s="1169"/>
      <c r="AU246" s="1169"/>
      <c r="AV246" s="1645"/>
      <c r="AW246" s="1169"/>
      <c r="AX246" s="1169"/>
      <c r="AY246" s="553"/>
      <c r="AZ246" s="1169"/>
      <c r="BA246" s="1169"/>
      <c r="BB246" s="1169"/>
      <c r="BC246" s="1169"/>
      <c r="BD246" s="1169"/>
      <c r="BE246" s="1641"/>
      <c r="BF246" s="575"/>
      <c r="BG246" s="575"/>
      <c r="BH246" s="575"/>
      <c r="BI246" s="575"/>
      <c r="BJ246" s="1650">
        <v>11</v>
      </c>
    </row>
    <row s="1650" customFormat="1" customHeight="1" ht="11.549999999999999">
      <c r="A247" s="996"/>
      <c r="B247" s="1645"/>
      <c r="C247" s="1645"/>
      <c r="D247" s="360"/>
      <c r="J247" s="1650"/>
      <c r="K247" s="1650"/>
      <c r="L247" s="1650"/>
      <c r="M247" s="1650"/>
      <c r="N247" s="1650"/>
      <c r="O247" s="1650"/>
      <c r="P247" s="1650"/>
      <c r="Q247" s="1650"/>
      <c r="R247" s="1650"/>
      <c r="S247" s="1650"/>
      <c r="T247" s="1650"/>
      <c r="U247" s="1650"/>
      <c r="V247" s="1650"/>
      <c r="W247" s="1650"/>
      <c r="X247" s="1650"/>
      <c r="Y247" s="1650"/>
      <c r="Z247" s="1650"/>
      <c r="AA247" s="1650"/>
      <c r="AB247" s="1650"/>
      <c r="AC247" s="1650"/>
      <c r="AD247" s="1650"/>
      <c r="AE247" s="1650"/>
      <c r="AF247" s="1650"/>
      <c r="AG247" s="1650"/>
      <c r="AH247" s="1650"/>
      <c r="AI247" s="1650"/>
      <c r="AJ247" s="1650"/>
      <c r="AK247" s="1650"/>
      <c r="AL247" s="1650"/>
      <c r="AM247" s="1650"/>
      <c r="AO247" s="1169"/>
      <c r="AP247" s="1645"/>
      <c r="AQ247" s="1645"/>
      <c r="AR247" s="1169"/>
      <c r="AS247" s="1169"/>
      <c r="AT247" s="1169"/>
      <c r="AU247" s="1169"/>
      <c r="AV247" s="1645"/>
      <c r="AW247" s="1169"/>
      <c r="AX247" s="1169"/>
      <c r="AY247" s="553"/>
      <c r="AZ247" s="1169"/>
      <c r="BA247" s="1169"/>
      <c r="BB247" s="1169"/>
      <c r="BC247" s="1169"/>
      <c r="BD247" s="1169"/>
      <c r="BE247" s="1641"/>
      <c r="BF247" s="575"/>
      <c r="BG247" s="575"/>
      <c r="BH247" s="575"/>
      <c r="BI247" s="575"/>
      <c r="BJ247" s="1650">
        <v>11</v>
      </c>
    </row>
    <row s="1650" customFormat="1" customHeight="1" ht="11.549999999999999">
      <c r="A248" s="996"/>
      <c r="B248" s="1645"/>
      <c r="C248" s="1645"/>
      <c r="D248" s="360"/>
      <c r="J248" s="1650"/>
      <c r="K248" s="1650"/>
      <c r="L248" s="1650"/>
      <c r="M248" s="1650"/>
      <c r="N248" s="1650"/>
      <c r="O248" s="1650"/>
      <c r="P248" s="1650"/>
      <c r="Q248" s="1650"/>
      <c r="R248" s="1650"/>
      <c r="S248" s="1650"/>
      <c r="T248" s="1650"/>
      <c r="U248" s="1650"/>
      <c r="V248" s="1650"/>
      <c r="W248" s="1650"/>
      <c r="X248" s="1650"/>
      <c r="Y248" s="1650"/>
      <c r="Z248" s="1650"/>
      <c r="AA248" s="1650"/>
      <c r="AB248" s="1650"/>
      <c r="AC248" s="1650"/>
      <c r="AD248" s="1650"/>
      <c r="AE248" s="1650"/>
      <c r="AF248" s="1650"/>
      <c r="AG248" s="1650"/>
      <c r="AH248" s="1650"/>
      <c r="AI248" s="1650"/>
      <c r="AJ248" s="1650"/>
      <c r="AK248" s="1650"/>
      <c r="AL248" s="1650"/>
      <c r="AM248" s="1650"/>
      <c r="AO248" s="1169"/>
      <c r="AP248" s="1645"/>
      <c r="AQ248" s="1645"/>
      <c r="AR248" s="1169"/>
      <c r="AS248" s="1169"/>
      <c r="AT248" s="1169"/>
      <c r="AU248" s="1169"/>
      <c r="AV248" s="1645"/>
      <c r="AW248" s="1169"/>
      <c r="AX248" s="1169"/>
      <c r="AY248" s="553"/>
      <c r="AZ248" s="1169"/>
      <c r="BA248" s="1169"/>
      <c r="BB248" s="1169"/>
      <c r="BC248" s="1169"/>
      <c r="BD248" s="1169"/>
      <c r="BE248" s="1641"/>
      <c r="BF248" s="575"/>
      <c r="BG248" s="575"/>
      <c r="BH248" s="575"/>
      <c r="BI248" s="575"/>
      <c r="BJ248" s="1650">
        <v>11</v>
      </c>
    </row>
    <row s="1650" customFormat="1" customHeight="1" ht="11.549999999999999">
      <c r="A249" s="996"/>
      <c r="B249" s="1645"/>
      <c r="C249" s="1645"/>
      <c r="D249" s="360"/>
      <c r="J249" s="1650"/>
      <c r="K249" s="1650"/>
      <c r="L249" s="1650"/>
      <c r="M249" s="1650"/>
      <c r="N249" s="1650"/>
      <c r="O249" s="1650"/>
      <c r="P249" s="1650"/>
      <c r="Q249" s="1650"/>
      <c r="R249" s="1650"/>
      <c r="S249" s="1650"/>
      <c r="T249" s="1650"/>
      <c r="U249" s="1650"/>
      <c r="V249" s="1650"/>
      <c r="W249" s="1650"/>
      <c r="X249" s="1650"/>
      <c r="Y249" s="1650"/>
      <c r="Z249" s="1650"/>
      <c r="AA249" s="1650"/>
      <c r="AB249" s="1650"/>
      <c r="AC249" s="1650"/>
      <c r="AD249" s="1650"/>
      <c r="AE249" s="1650"/>
      <c r="AF249" s="1650"/>
      <c r="AG249" s="1650"/>
      <c r="AH249" s="1650"/>
      <c r="AI249" s="1650"/>
      <c r="AJ249" s="1650"/>
      <c r="AK249" s="1650"/>
      <c r="AL249" s="1650"/>
      <c r="AM249" s="1650"/>
      <c r="AO249" s="1169"/>
      <c r="AP249" s="1645"/>
      <c r="AQ249" s="1645"/>
      <c r="AR249" s="1169"/>
      <c r="AS249" s="1169"/>
      <c r="AT249" s="1169"/>
      <c r="AU249" s="1169"/>
      <c r="AV249" s="1645"/>
      <c r="AW249" s="1169"/>
      <c r="AX249" s="1169"/>
      <c r="AY249" s="553"/>
      <c r="AZ249" s="1169"/>
      <c r="BA249" s="1169"/>
      <c r="BB249" s="1169"/>
      <c r="BC249" s="1169"/>
      <c r="BD249" s="1169"/>
      <c r="BE249" s="1641"/>
      <c r="BF249" s="575"/>
      <c r="BG249" s="575"/>
      <c r="BH249" s="575"/>
      <c r="BI249" s="575"/>
      <c r="BJ249" s="1650">
        <v>11</v>
      </c>
    </row>
    <row s="1650" customFormat="1" customHeight="1" ht="11.549999999999999">
      <c r="A250" s="996"/>
      <c r="B250" s="1645"/>
      <c r="C250" s="1645"/>
      <c r="D250" s="360"/>
      <c r="J250" s="1650"/>
      <c r="K250" s="1650"/>
      <c r="L250" s="1650"/>
      <c r="M250" s="1650"/>
      <c r="N250" s="1650"/>
      <c r="O250" s="1650"/>
      <c r="P250" s="1650"/>
      <c r="Q250" s="1650"/>
      <c r="R250" s="1650"/>
      <c r="S250" s="1650"/>
      <c r="T250" s="1650"/>
      <c r="U250" s="1650"/>
      <c r="V250" s="1650"/>
      <c r="W250" s="1650"/>
      <c r="X250" s="1650"/>
      <c r="Y250" s="1650"/>
      <c r="Z250" s="1650"/>
      <c r="AA250" s="1650"/>
      <c r="AB250" s="1650"/>
      <c r="AC250" s="1650"/>
      <c r="AD250" s="1650"/>
      <c r="AE250" s="1650"/>
      <c r="AF250" s="1650"/>
      <c r="AG250" s="1650"/>
      <c r="AH250" s="1650"/>
      <c r="AI250" s="1650"/>
      <c r="AJ250" s="1650"/>
      <c r="AK250" s="1650"/>
      <c r="AL250" s="1650"/>
      <c r="AM250" s="1650"/>
      <c r="AO250" s="1169"/>
      <c r="AP250" s="1645"/>
      <c r="AQ250" s="1645"/>
      <c r="AR250" s="1169"/>
      <c r="AS250" s="1169"/>
      <c r="AT250" s="1169"/>
      <c r="AU250" s="1169"/>
      <c r="AV250" s="1645"/>
      <c r="AW250" s="1169"/>
      <c r="AX250" s="1169"/>
      <c r="AY250" s="553"/>
      <c r="AZ250" s="1169"/>
      <c r="BA250" s="1169"/>
      <c r="BB250" s="1169"/>
      <c r="BC250" s="1169"/>
      <c r="BD250" s="1169"/>
      <c r="BE250" s="1641"/>
      <c r="BF250" s="575"/>
      <c r="BG250" s="575"/>
      <c r="BH250" s="575"/>
      <c r="BI250" s="575"/>
      <c r="BJ250" s="1650">
        <v>11</v>
      </c>
    </row>
    <row s="1650" customFormat="1" customHeight="1" ht="11.549999999999999">
      <c r="A251" s="996"/>
      <c r="B251" s="1645"/>
      <c r="C251" s="1645"/>
      <c r="D251" s="360"/>
      <c r="J251" s="1650"/>
      <c r="K251" s="1650"/>
      <c r="L251" s="1650"/>
      <c r="M251" s="1650"/>
      <c r="N251" s="1650"/>
      <c r="O251" s="1650"/>
      <c r="P251" s="1650"/>
      <c r="Q251" s="1650"/>
      <c r="R251" s="1650"/>
      <c r="S251" s="1650"/>
      <c r="T251" s="1650"/>
      <c r="U251" s="1650"/>
      <c r="V251" s="1650"/>
      <c r="W251" s="1650"/>
      <c r="X251" s="1650"/>
      <c r="Y251" s="1650"/>
      <c r="Z251" s="1650"/>
      <c r="AA251" s="1650"/>
      <c r="AB251" s="1650"/>
      <c r="AC251" s="1650"/>
      <c r="AD251" s="1650"/>
      <c r="AE251" s="1650"/>
      <c r="AF251" s="1650"/>
      <c r="AG251" s="1650"/>
      <c r="AH251" s="1650"/>
      <c r="AI251" s="1650"/>
      <c r="AJ251" s="1650"/>
      <c r="AK251" s="1650"/>
      <c r="AL251" s="1650"/>
      <c r="AM251" s="1650"/>
      <c r="AO251" s="1169"/>
      <c r="AP251" s="1645"/>
      <c r="AQ251" s="1645"/>
      <c r="AR251" s="1169"/>
      <c r="AS251" s="1169"/>
      <c r="AT251" s="1169"/>
      <c r="AU251" s="1169"/>
      <c r="AV251" s="1645"/>
      <c r="AW251" s="1169"/>
      <c r="AX251" s="1169"/>
      <c r="AY251" s="553"/>
      <c r="AZ251" s="1169"/>
      <c r="BA251" s="1169"/>
      <c r="BB251" s="1169"/>
      <c r="BC251" s="1169"/>
      <c r="BD251" s="1169"/>
      <c r="BE251" s="1641"/>
      <c r="BF251" s="575"/>
      <c r="BG251" s="575"/>
      <c r="BH251" s="575"/>
      <c r="BI251" s="575"/>
      <c r="BJ251" s="1650">
        <v>11</v>
      </c>
    </row>
    <row s="1650" customFormat="1" customHeight="1" ht="11.549999999999999">
      <c r="A252" s="996"/>
      <c r="B252" s="1645"/>
      <c r="C252" s="1645"/>
      <c r="D252" s="360"/>
      <c r="J252" s="1650"/>
      <c r="K252" s="1650"/>
      <c r="L252" s="1650"/>
      <c r="M252" s="1650"/>
      <c r="N252" s="1650"/>
      <c r="O252" s="1650"/>
      <c r="P252" s="1650"/>
      <c r="Q252" s="1650"/>
      <c r="R252" s="1650"/>
      <c r="S252" s="1650"/>
      <c r="T252" s="1650"/>
      <c r="U252" s="1650"/>
      <c r="V252" s="1650"/>
      <c r="W252" s="1650"/>
      <c r="X252" s="1650"/>
      <c r="Y252" s="1650"/>
      <c r="Z252" s="1650"/>
      <c r="AA252" s="1650"/>
      <c r="AB252" s="1650"/>
      <c r="AC252" s="1650"/>
      <c r="AD252" s="1650"/>
      <c r="AE252" s="1650"/>
      <c r="AF252" s="1650"/>
      <c r="AG252" s="1650"/>
      <c r="AH252" s="1650"/>
      <c r="AI252" s="1650"/>
      <c r="AJ252" s="1650"/>
      <c r="AK252" s="1650"/>
      <c r="AL252" s="1650"/>
      <c r="AM252" s="1650"/>
      <c r="AO252" s="1169"/>
      <c r="AP252" s="1645"/>
      <c r="AQ252" s="1645"/>
      <c r="AR252" s="1169"/>
      <c r="AS252" s="1169"/>
      <c r="AT252" s="1169"/>
      <c r="AU252" s="1169"/>
      <c r="AV252" s="1645"/>
      <c r="AW252" s="1169"/>
      <c r="AX252" s="1169"/>
      <c r="AY252" s="553"/>
      <c r="AZ252" s="1169"/>
      <c r="BA252" s="1169"/>
      <c r="BB252" s="1169"/>
      <c r="BC252" s="1169"/>
      <c r="BD252" s="1169"/>
      <c r="BE252" s="1641"/>
      <c r="BF252" s="575"/>
      <c r="BG252" s="575"/>
      <c r="BH252" s="575"/>
      <c r="BI252" s="575"/>
      <c r="BJ252" s="1650">
        <v>11</v>
      </c>
    </row>
    <row s="1650" customFormat="1" customHeight="1" ht="11.549999999999999">
      <c r="A253" s="996"/>
      <c r="B253" s="1645"/>
      <c r="C253" s="1645"/>
      <c r="D253" s="360"/>
      <c r="J253" s="1650"/>
      <c r="K253" s="1650"/>
      <c r="L253" s="1650"/>
      <c r="M253" s="1650"/>
      <c r="N253" s="1650"/>
      <c r="O253" s="1650"/>
      <c r="P253" s="1650"/>
      <c r="Q253" s="1650"/>
      <c r="R253" s="1650"/>
      <c r="S253" s="1650"/>
      <c r="T253" s="1650"/>
      <c r="U253" s="1650"/>
      <c r="V253" s="1650"/>
      <c r="W253" s="1650"/>
      <c r="X253" s="1650"/>
      <c r="Y253" s="1650"/>
      <c r="Z253" s="1650"/>
      <c r="AA253" s="1650"/>
      <c r="AB253" s="1650"/>
      <c r="AC253" s="1650"/>
      <c r="AD253" s="1650"/>
      <c r="AE253" s="1650"/>
      <c r="AF253" s="1650"/>
      <c r="AG253" s="1650"/>
      <c r="AH253" s="1650"/>
      <c r="AI253" s="1650"/>
      <c r="AJ253" s="1650"/>
      <c r="AK253" s="1650"/>
      <c r="AL253" s="1650"/>
      <c r="AM253" s="1650"/>
      <c r="AO253" s="1169"/>
      <c r="AP253" s="1645"/>
      <c r="AQ253" s="1645"/>
      <c r="AR253" s="1169"/>
      <c r="AS253" s="1169"/>
      <c r="AT253" s="1169"/>
      <c r="AU253" s="1169"/>
      <c r="AV253" s="1645"/>
      <c r="AW253" s="1169"/>
      <c r="AX253" s="1169"/>
      <c r="AY253" s="553"/>
      <c r="AZ253" s="1169"/>
      <c r="BA253" s="1169"/>
      <c r="BB253" s="1169"/>
      <c r="BC253" s="1169"/>
      <c r="BD253" s="1169"/>
      <c r="BE253" s="1641"/>
      <c r="BF253" s="575"/>
      <c r="BG253" s="575"/>
      <c r="BH253" s="575"/>
      <c r="BI253" s="575"/>
      <c r="BJ253" s="1650">
        <v>11</v>
      </c>
    </row>
    <row s="1650" customFormat="1" customHeight="1" ht="11.549999999999999">
      <c r="A254" s="996"/>
      <c r="B254" s="1645"/>
      <c r="C254" s="1645"/>
      <c r="D254" s="360"/>
      <c r="J254" s="1650"/>
      <c r="K254" s="1650"/>
      <c r="L254" s="1650"/>
      <c r="M254" s="1650"/>
      <c r="N254" s="1650"/>
      <c r="O254" s="1650"/>
      <c r="P254" s="1650"/>
      <c r="Q254" s="1650"/>
      <c r="R254" s="1650"/>
      <c r="S254" s="1650"/>
      <c r="T254" s="1650"/>
      <c r="U254" s="1650"/>
      <c r="V254" s="1650"/>
      <c r="W254" s="1650"/>
      <c r="X254" s="1650"/>
      <c r="Y254" s="1650"/>
      <c r="Z254" s="1650"/>
      <c r="AA254" s="1650"/>
      <c r="AB254" s="1650"/>
      <c r="AC254" s="1650"/>
      <c r="AD254" s="1650"/>
      <c r="AE254" s="1650"/>
      <c r="AF254" s="1650"/>
      <c r="AG254" s="1650"/>
      <c r="AH254" s="1650"/>
      <c r="AI254" s="1650"/>
      <c r="AJ254" s="1650"/>
      <c r="AK254" s="1650"/>
      <c r="AL254" s="1650"/>
      <c r="AM254" s="1650"/>
      <c r="AO254" s="1169"/>
      <c r="AP254" s="1645"/>
      <c r="AQ254" s="1645"/>
      <c r="AR254" s="1169"/>
      <c r="AS254" s="1169"/>
      <c r="AT254" s="1169"/>
      <c r="AU254" s="1169"/>
      <c r="AV254" s="1645"/>
      <c r="AW254" s="1169"/>
      <c r="AX254" s="1169"/>
      <c r="AY254" s="553"/>
      <c r="AZ254" s="1169"/>
      <c r="BA254" s="1169"/>
      <c r="BB254" s="1169"/>
      <c r="BC254" s="1169"/>
      <c r="BD254" s="1169"/>
      <c r="BE254" s="1641"/>
      <c r="BF254" s="575"/>
      <c r="BG254" s="575"/>
      <c r="BH254" s="575"/>
      <c r="BI254" s="575"/>
      <c r="BJ254" s="1650">
        <v>11</v>
      </c>
    </row>
    <row s="1650" customFormat="1" customHeight="1" ht="11.549999999999999">
      <c r="A255" s="996"/>
      <c r="B255" s="1645"/>
      <c r="C255" s="1645"/>
      <c r="D255" s="360"/>
      <c r="J255" s="1650"/>
      <c r="K255" s="1650"/>
      <c r="L255" s="1650"/>
      <c r="M255" s="1650"/>
      <c r="N255" s="1650"/>
      <c r="O255" s="1650"/>
      <c r="P255" s="1650"/>
      <c r="Q255" s="1650"/>
      <c r="R255" s="1650"/>
      <c r="S255" s="1650"/>
      <c r="T255" s="1650"/>
      <c r="U255" s="1650"/>
      <c r="V255" s="1650"/>
      <c r="W255" s="1650"/>
      <c r="X255" s="1650"/>
      <c r="Y255" s="1650"/>
      <c r="Z255" s="1650"/>
      <c r="AA255" s="1650"/>
      <c r="AB255" s="1650"/>
      <c r="AC255" s="1650"/>
      <c r="AD255" s="1650"/>
      <c r="AE255" s="1650"/>
      <c r="AF255" s="1650"/>
      <c r="AG255" s="1650"/>
      <c r="AH255" s="1650"/>
      <c r="AI255" s="1650"/>
      <c r="AJ255" s="1650"/>
      <c r="AK255" s="1650"/>
      <c r="AL255" s="1650"/>
      <c r="AM255" s="1650"/>
      <c r="AO255" s="1169"/>
      <c r="AP255" s="1645"/>
      <c r="AQ255" s="1645"/>
      <c r="AR255" s="1169"/>
      <c r="AS255" s="1169"/>
      <c r="AT255" s="1169"/>
      <c r="AU255" s="1169"/>
      <c r="AV255" s="1645"/>
      <c r="AW255" s="1169"/>
      <c r="AX255" s="1169"/>
      <c r="AY255" s="553"/>
      <c r="AZ255" s="1169"/>
      <c r="BA255" s="1169"/>
      <c r="BB255" s="1169"/>
      <c r="BC255" s="1169"/>
      <c r="BD255" s="1169"/>
      <c r="BE255" s="1641"/>
      <c r="BF255" s="575"/>
      <c r="BG255" s="575"/>
      <c r="BH255" s="575"/>
      <c r="BI255" s="575"/>
      <c r="BJ255" s="1650">
        <v>11</v>
      </c>
    </row>
    <row s="1650" customFormat="1" customHeight="1" ht="11.549999999999999">
      <c r="A256" s="996"/>
      <c r="B256" s="1645"/>
      <c r="C256" s="1645"/>
      <c r="D256" s="360"/>
      <c r="J256" s="1650"/>
      <c r="K256" s="1650"/>
      <c r="L256" s="1650"/>
      <c r="M256" s="1650"/>
      <c r="N256" s="1650"/>
      <c r="O256" s="1650"/>
      <c r="P256" s="1650"/>
      <c r="Q256" s="1650"/>
      <c r="R256" s="1650"/>
      <c r="S256" s="1650"/>
      <c r="T256" s="1650"/>
      <c r="U256" s="1650"/>
      <c r="V256" s="1650"/>
      <c r="W256" s="1650"/>
      <c r="X256" s="1650"/>
      <c r="Y256" s="1650"/>
      <c r="Z256" s="1650"/>
      <c r="AA256" s="1650"/>
      <c r="AB256" s="1650"/>
      <c r="AC256" s="1650"/>
      <c r="AD256" s="1650"/>
      <c r="AE256" s="1650"/>
      <c r="AF256" s="1650"/>
      <c r="AG256" s="1650"/>
      <c r="AH256" s="1650"/>
      <c r="AI256" s="1650"/>
      <c r="AJ256" s="1650"/>
      <c r="AK256" s="1650"/>
      <c r="AL256" s="1650"/>
      <c r="AM256" s="1650"/>
      <c r="AO256" s="1169"/>
      <c r="AP256" s="1645"/>
      <c r="AQ256" s="1645"/>
      <c r="AR256" s="1169"/>
      <c r="AS256" s="1169"/>
      <c r="AT256" s="1169"/>
      <c r="AU256" s="1169"/>
      <c r="AV256" s="1645"/>
      <c r="AW256" s="1169"/>
      <c r="AX256" s="1169"/>
      <c r="AY256" s="553"/>
      <c r="AZ256" s="1169"/>
      <c r="BA256" s="1169"/>
      <c r="BB256" s="1169"/>
      <c r="BC256" s="1169"/>
      <c r="BD256" s="1169"/>
      <c r="BE256" s="1641"/>
      <c r="BF256" s="575"/>
      <c r="BG256" s="575"/>
      <c r="BH256" s="575"/>
      <c r="BI256" s="575"/>
      <c r="BJ256" s="1650">
        <v>11</v>
      </c>
    </row>
    <row s="1650" customFormat="1" customHeight="1" ht="11.549999999999999">
      <c r="A257" s="996"/>
      <c r="B257" s="1645"/>
      <c r="C257" s="1645"/>
      <c r="D257" s="360"/>
      <c r="J257" s="1650"/>
      <c r="K257" s="1650"/>
      <c r="L257" s="1650"/>
      <c r="M257" s="1650"/>
      <c r="N257" s="1650"/>
      <c r="O257" s="1650"/>
      <c r="P257" s="1650"/>
      <c r="Q257" s="1650"/>
      <c r="R257" s="1650"/>
      <c r="S257" s="1650"/>
      <c r="T257" s="1650"/>
      <c r="U257" s="1650"/>
      <c r="V257" s="1650"/>
      <c r="W257" s="1650"/>
      <c r="X257" s="1650"/>
      <c r="Y257" s="1650"/>
      <c r="Z257" s="1650"/>
      <c r="AA257" s="1650"/>
      <c r="AB257" s="1650"/>
      <c r="AC257" s="1650"/>
      <c r="AD257" s="1650"/>
      <c r="AE257" s="1650"/>
      <c r="AF257" s="1650"/>
      <c r="AG257" s="1650"/>
      <c r="AH257" s="1650"/>
      <c r="AI257" s="1650"/>
      <c r="AJ257" s="1650"/>
      <c r="AK257" s="1650"/>
      <c r="AL257" s="1650"/>
      <c r="AM257" s="1650"/>
      <c r="AO257" s="1169"/>
      <c r="AP257" s="1645"/>
      <c r="AQ257" s="1645"/>
      <c r="AR257" s="1169"/>
      <c r="AS257" s="1169"/>
      <c r="AT257" s="1169"/>
      <c r="AU257" s="1169"/>
      <c r="AV257" s="1645"/>
      <c r="AW257" s="1169"/>
      <c r="AX257" s="1169"/>
      <c r="AY257" s="553"/>
      <c r="AZ257" s="1169"/>
      <c r="BA257" s="1169"/>
      <c r="BB257" s="1169"/>
      <c r="BC257" s="1169"/>
      <c r="BD257" s="1169"/>
      <c r="BE257" s="1641"/>
      <c r="BF257" s="575"/>
      <c r="BG257" s="575"/>
      <c r="BH257" s="575"/>
      <c r="BI257" s="575"/>
      <c r="BJ257" s="1650">
        <v>11</v>
      </c>
    </row>
    <row s="1650" customFormat="1" customHeight="1" ht="11.549999999999999">
      <c r="A258" s="996"/>
      <c r="B258" s="1645"/>
      <c r="C258" s="1645"/>
      <c r="D258" s="360"/>
      <c r="J258" s="1650"/>
      <c r="K258" s="1650"/>
      <c r="L258" s="1650"/>
      <c r="M258" s="1650"/>
      <c r="N258" s="1650"/>
      <c r="O258" s="1650"/>
      <c r="P258" s="1650"/>
      <c r="Q258" s="1650"/>
      <c r="R258" s="1650"/>
      <c r="S258" s="1650"/>
      <c r="T258" s="1650"/>
      <c r="U258" s="1650"/>
      <c r="V258" s="1650"/>
      <c r="W258" s="1650"/>
      <c r="X258" s="1650"/>
      <c r="Y258" s="1650"/>
      <c r="Z258" s="1650"/>
      <c r="AA258" s="1650"/>
      <c r="AB258" s="1650"/>
      <c r="AC258" s="1650"/>
      <c r="AD258" s="1650"/>
      <c r="AE258" s="1650"/>
      <c r="AF258" s="1650"/>
      <c r="AG258" s="1650"/>
      <c r="AH258" s="1650"/>
      <c r="AI258" s="1650"/>
      <c r="AJ258" s="1650"/>
      <c r="AK258" s="1650"/>
      <c r="AL258" s="1650"/>
      <c r="AM258" s="1650"/>
      <c r="AO258" s="1169"/>
      <c r="AP258" s="1645"/>
      <c r="AQ258" s="1645"/>
      <c r="AR258" s="1169"/>
      <c r="AS258" s="1169"/>
      <c r="AT258" s="1169"/>
      <c r="AU258" s="1169"/>
      <c r="AV258" s="1645"/>
      <c r="AW258" s="1169"/>
      <c r="AX258" s="1169"/>
      <c r="AY258" s="553"/>
      <c r="AZ258" s="1169"/>
      <c r="BA258" s="1169"/>
      <c r="BB258" s="1169"/>
      <c r="BC258" s="1169"/>
      <c r="BD258" s="1169"/>
      <c r="BE258" s="1641"/>
      <c r="BF258" s="575"/>
      <c r="BG258" s="575"/>
      <c r="BH258" s="575"/>
      <c r="BI258" s="575"/>
      <c r="BJ258" s="1650">
        <v>11</v>
      </c>
    </row>
    <row s="1650" customFormat="1" customHeight="1" ht="11.549999999999999">
      <c r="A259" s="996"/>
      <c r="B259" s="1645"/>
      <c r="C259" s="1645"/>
      <c r="D259" s="360"/>
      <c r="J259" s="1650"/>
      <c r="K259" s="1650"/>
      <c r="L259" s="1650"/>
      <c r="M259" s="1650"/>
      <c r="N259" s="1650"/>
      <c r="O259" s="1650"/>
      <c r="P259" s="1650"/>
      <c r="Q259" s="1650"/>
      <c r="R259" s="1650"/>
      <c r="S259" s="1650"/>
      <c r="T259" s="1650"/>
      <c r="U259" s="1650"/>
      <c r="V259" s="1650"/>
      <c r="W259" s="1650"/>
      <c r="X259" s="1650"/>
      <c r="Y259" s="1650"/>
      <c r="Z259" s="1650"/>
      <c r="AA259" s="1650"/>
      <c r="AB259" s="1650"/>
      <c r="AC259" s="1650"/>
      <c r="AD259" s="1650"/>
      <c r="AE259" s="1650"/>
      <c r="AF259" s="1650"/>
      <c r="AG259" s="1650"/>
      <c r="AH259" s="1650"/>
      <c r="AI259" s="1650"/>
      <c r="AJ259" s="1650"/>
      <c r="AK259" s="1650"/>
      <c r="AL259" s="1650"/>
      <c r="AM259" s="1650"/>
      <c r="AO259" s="1169"/>
      <c r="AP259" s="1645"/>
      <c r="AQ259" s="1645"/>
      <c r="AR259" s="1169"/>
      <c r="AS259" s="1169"/>
      <c r="AT259" s="1169"/>
      <c r="AU259" s="1169"/>
      <c r="AV259" s="1645"/>
      <c r="AW259" s="1169"/>
      <c r="AX259" s="1169"/>
      <c r="AY259" s="553"/>
      <c r="AZ259" s="1169"/>
      <c r="BA259" s="1169"/>
      <c r="BB259" s="1169"/>
      <c r="BC259" s="1169"/>
      <c r="BD259" s="1169"/>
      <c r="BE259" s="1641"/>
      <c r="BF259" s="575"/>
      <c r="BG259" s="575"/>
      <c r="BH259" s="575"/>
      <c r="BI259" s="575"/>
      <c r="BJ259" s="1650">
        <v>11</v>
      </c>
    </row>
    <row s="1650" customFormat="1" customHeight="1" ht="11.549999999999999">
      <c r="A260" s="996"/>
      <c r="B260" s="1645"/>
      <c r="C260" s="1645"/>
      <c r="D260" s="360"/>
      <c r="J260" s="1650"/>
      <c r="K260" s="1650"/>
      <c r="L260" s="1650"/>
      <c r="M260" s="1650"/>
      <c r="N260" s="1650"/>
      <c r="O260" s="1650"/>
      <c r="P260" s="1650"/>
      <c r="Q260" s="1650"/>
      <c r="R260" s="1650"/>
      <c r="S260" s="1650"/>
      <c r="T260" s="1650"/>
      <c r="U260" s="1650"/>
      <c r="V260" s="1650"/>
      <c r="W260" s="1650"/>
      <c r="X260" s="1650"/>
      <c r="Y260" s="1650"/>
      <c r="Z260" s="1650"/>
      <c r="AA260" s="1650"/>
      <c r="AB260" s="1650"/>
      <c r="AC260" s="1650"/>
      <c r="AD260" s="1650"/>
      <c r="AE260" s="1650"/>
      <c r="AF260" s="1650"/>
      <c r="AG260" s="1650"/>
      <c r="AH260" s="1650"/>
      <c r="AI260" s="1650"/>
      <c r="AJ260" s="1650"/>
      <c r="AK260" s="1650"/>
      <c r="AL260" s="1650"/>
      <c r="AM260" s="1650"/>
      <c r="AO260" s="1169"/>
      <c r="AP260" s="1645"/>
      <c r="AQ260" s="1645"/>
      <c r="AR260" s="1169"/>
      <c r="AS260" s="1169"/>
      <c r="AT260" s="1169"/>
      <c r="AU260" s="1169"/>
      <c r="AV260" s="1645"/>
      <c r="AW260" s="1169"/>
      <c r="AX260" s="1169"/>
      <c r="AY260" s="553"/>
      <c r="AZ260" s="1169"/>
      <c r="BA260" s="1169"/>
      <c r="BB260" s="1169"/>
      <c r="BC260" s="1169"/>
      <c r="BD260" s="1169"/>
      <c r="BE260" s="1641"/>
      <c r="BF260" s="575"/>
      <c r="BG260" s="575"/>
      <c r="BH260" s="575"/>
      <c r="BI260" s="575"/>
      <c r="BJ260" s="1650">
        <v>11</v>
      </c>
    </row>
    <row s="1650" customFormat="1" customHeight="1" ht="11.549999999999999">
      <c r="A261" s="996"/>
      <c r="B261" s="1645"/>
      <c r="C261" s="1645"/>
      <c r="D261" s="360"/>
      <c r="J261" s="1650"/>
      <c r="K261" s="1650"/>
      <c r="L261" s="1650"/>
      <c r="M261" s="1650"/>
      <c r="N261" s="1650"/>
      <c r="O261" s="1650"/>
      <c r="P261" s="1650"/>
      <c r="Q261" s="1650"/>
      <c r="R261" s="1650"/>
      <c r="S261" s="1650"/>
      <c r="T261" s="1650"/>
      <c r="U261" s="1650"/>
      <c r="V261" s="1650"/>
      <c r="W261" s="1650"/>
      <c r="X261" s="1650"/>
      <c r="Y261" s="1650"/>
      <c r="Z261" s="1650"/>
      <c r="AA261" s="1650"/>
      <c r="AB261" s="1650"/>
      <c r="AC261" s="1650"/>
      <c r="AD261" s="1650"/>
      <c r="AE261" s="1650"/>
      <c r="AF261" s="1650"/>
      <c r="AG261" s="1650"/>
      <c r="AH261" s="1650"/>
      <c r="AI261" s="1650"/>
      <c r="AJ261" s="1650"/>
      <c r="AK261" s="1650"/>
      <c r="AL261" s="1650"/>
      <c r="AM261" s="1650"/>
      <c r="AO261" s="1169"/>
      <c r="AP261" s="1645"/>
      <c r="AQ261" s="1645"/>
      <c r="AR261" s="1169"/>
      <c r="AS261" s="1169"/>
      <c r="AT261" s="1169"/>
      <c r="AU261" s="1169"/>
      <c r="AV261" s="1645"/>
      <c r="AW261" s="1169"/>
      <c r="AX261" s="1169"/>
      <c r="AY261" s="553"/>
      <c r="AZ261" s="1169"/>
      <c r="BA261" s="1169"/>
      <c r="BB261" s="1169"/>
      <c r="BC261" s="1169"/>
      <c r="BD261" s="1169"/>
      <c r="BE261" s="1641"/>
      <c r="BF261" s="575"/>
      <c r="BG261" s="575"/>
      <c r="BH261" s="575"/>
      <c r="BI261" s="575"/>
      <c r="BJ261" s="1650">
        <v>11</v>
      </c>
    </row>
    <row s="1650" customFormat="1" customHeight="1" ht="11.549999999999999">
      <c r="A262" s="996"/>
      <c r="B262" s="1645"/>
      <c r="C262" s="1645"/>
      <c r="D262" s="360"/>
      <c r="J262" s="1650"/>
      <c r="K262" s="1650"/>
      <c r="L262" s="1650"/>
      <c r="M262" s="1650"/>
      <c r="N262" s="1650"/>
      <c r="O262" s="1650"/>
      <c r="P262" s="1650"/>
      <c r="Q262" s="1650"/>
      <c r="R262" s="1650"/>
      <c r="S262" s="1650"/>
      <c r="T262" s="1650"/>
      <c r="U262" s="1650"/>
      <c r="V262" s="1650"/>
      <c r="W262" s="1650"/>
      <c r="X262" s="1650"/>
      <c r="Y262" s="1650"/>
      <c r="Z262" s="1650"/>
      <c r="AA262" s="1650"/>
      <c r="AB262" s="1650"/>
      <c r="AC262" s="1650"/>
      <c r="AD262" s="1650"/>
      <c r="AE262" s="1650"/>
      <c r="AF262" s="1650"/>
      <c r="AG262" s="1650"/>
      <c r="AH262" s="1650"/>
      <c r="AI262" s="1650"/>
      <c r="AJ262" s="1650"/>
      <c r="AK262" s="1650"/>
      <c r="AL262" s="1650"/>
      <c r="AM262" s="1650"/>
      <c r="AO262" s="1169"/>
      <c r="AP262" s="1645"/>
      <c r="AQ262" s="1645"/>
      <c r="AR262" s="1169"/>
      <c r="AS262" s="1169"/>
      <c r="AT262" s="1169"/>
      <c r="AU262" s="1169"/>
      <c r="AV262" s="1645"/>
      <c r="AW262" s="1169"/>
      <c r="AX262" s="1169"/>
      <c r="AY262" s="553"/>
      <c r="AZ262" s="1169"/>
      <c r="BA262" s="1169"/>
      <c r="BB262" s="1169"/>
      <c r="BC262" s="1169"/>
      <c r="BD262" s="1169"/>
      <c r="BE262" s="1641"/>
      <c r="BF262" s="575"/>
      <c r="BG262" s="575"/>
      <c r="BH262" s="575"/>
      <c r="BI262" s="575"/>
      <c r="BJ262" s="1650">
        <v>11</v>
      </c>
    </row>
    <row s="1650" customFormat="1" customHeight="1" ht="11.549999999999999">
      <c r="A263" s="996"/>
      <c r="B263" s="1645"/>
      <c r="C263" s="1645"/>
      <c r="D263" s="360"/>
      <c r="J263" s="1650"/>
      <c r="K263" s="1650"/>
      <c r="L263" s="1650"/>
      <c r="M263" s="1650"/>
      <c r="N263" s="1650"/>
      <c r="O263" s="1650"/>
      <c r="P263" s="1650"/>
      <c r="Q263" s="1650"/>
      <c r="R263" s="1650"/>
      <c r="S263" s="1650"/>
      <c r="T263" s="1650"/>
      <c r="U263" s="1650"/>
      <c r="V263" s="1650"/>
      <c r="W263" s="1650"/>
      <c r="X263" s="1650"/>
      <c r="Y263" s="1650"/>
      <c r="Z263" s="1650"/>
      <c r="AA263" s="1650"/>
      <c r="AB263" s="1650"/>
      <c r="AC263" s="1650"/>
      <c r="AD263" s="1650"/>
      <c r="AE263" s="1650"/>
      <c r="AF263" s="1650"/>
      <c r="AG263" s="1650"/>
      <c r="AH263" s="1650"/>
      <c r="AI263" s="1650"/>
      <c r="AJ263" s="1650"/>
      <c r="AK263" s="1650"/>
      <c r="AL263" s="1650"/>
      <c r="AM263" s="1650"/>
      <c r="AO263" s="1169"/>
      <c r="AP263" s="1645"/>
      <c r="AQ263" s="1645"/>
      <c r="AR263" s="1169"/>
      <c r="AS263" s="1169"/>
      <c r="AT263" s="1169"/>
      <c r="AU263" s="1169"/>
      <c r="AV263" s="1645"/>
      <c r="AW263" s="1169"/>
      <c r="AX263" s="1169"/>
      <c r="AY263" s="553"/>
      <c r="AZ263" s="1169"/>
      <c r="BA263" s="1169"/>
      <c r="BB263" s="1169"/>
      <c r="BC263" s="1169"/>
      <c r="BD263" s="1169"/>
      <c r="BE263" s="1641"/>
      <c r="BF263" s="575"/>
      <c r="BG263" s="575"/>
      <c r="BH263" s="575"/>
      <c r="BI263" s="575"/>
      <c r="BJ263" s="1650">
        <v>11</v>
      </c>
    </row>
    <row s="1650" customFormat="1" customHeight="1" ht="11.549999999999999">
      <c r="A264" s="996"/>
      <c r="B264" s="1645"/>
      <c r="C264" s="1645"/>
      <c r="D264" s="360"/>
      <c r="J264" s="1650"/>
      <c r="K264" s="1650"/>
      <c r="L264" s="1650"/>
      <c r="M264" s="1650"/>
      <c r="N264" s="1650"/>
      <c r="O264" s="1650"/>
      <c r="P264" s="1650"/>
      <c r="Q264" s="1650"/>
      <c r="R264" s="1650"/>
      <c r="S264" s="1650"/>
      <c r="T264" s="1650"/>
      <c r="U264" s="1650"/>
      <c r="V264" s="1650"/>
      <c r="W264" s="1650"/>
      <c r="X264" s="1650"/>
      <c r="Y264" s="1650"/>
      <c r="Z264" s="1650"/>
      <c r="AA264" s="1650"/>
      <c r="AB264" s="1650"/>
      <c r="AC264" s="1650"/>
      <c r="AD264" s="1650"/>
      <c r="AE264" s="1650"/>
      <c r="AF264" s="1650"/>
      <c r="AG264" s="1650"/>
      <c r="AH264" s="1650"/>
      <c r="AI264" s="1650"/>
      <c r="AJ264" s="1650"/>
      <c r="AK264" s="1650"/>
      <c r="AL264" s="1650"/>
      <c r="AM264" s="1650"/>
      <c r="AO264" s="1169"/>
      <c r="AP264" s="1645"/>
      <c r="AQ264" s="1645"/>
      <c r="AR264" s="1169"/>
      <c r="AS264" s="1169"/>
      <c r="AT264" s="1169"/>
      <c r="AU264" s="1169"/>
      <c r="AV264" s="1645"/>
      <c r="AW264" s="1169"/>
      <c r="AX264" s="1169"/>
      <c r="AY264" s="553"/>
      <c r="AZ264" s="1169"/>
      <c r="BA264" s="1169"/>
      <c r="BB264" s="1169"/>
      <c r="BC264" s="1169"/>
      <c r="BD264" s="1169"/>
      <c r="BE264" s="1641"/>
      <c r="BF264" s="575"/>
      <c r="BG264" s="575"/>
      <c r="BH264" s="575"/>
      <c r="BI264" s="575"/>
      <c r="BJ264" s="1650">
        <v>11</v>
      </c>
    </row>
    <row s="1650" customFormat="1" customHeight="1" ht="11.549999999999999">
      <c r="A265" s="996"/>
      <c r="B265" s="1645"/>
      <c r="C265" s="1645"/>
      <c r="D265" s="360"/>
      <c r="J265" s="1650"/>
      <c r="K265" s="1650"/>
      <c r="L265" s="1650"/>
      <c r="M265" s="1650"/>
      <c r="N265" s="1650"/>
      <c r="O265" s="1650"/>
      <c r="P265" s="1650"/>
      <c r="Q265" s="1650"/>
      <c r="R265" s="1650"/>
      <c r="S265" s="1650"/>
      <c r="T265" s="1650"/>
      <c r="U265" s="1650"/>
      <c r="V265" s="1650"/>
      <c r="W265" s="1650"/>
      <c r="X265" s="1650"/>
      <c r="Y265" s="1650"/>
      <c r="Z265" s="1650"/>
      <c r="AA265" s="1650"/>
      <c r="AB265" s="1650"/>
      <c r="AC265" s="1650"/>
      <c r="AD265" s="1650"/>
      <c r="AE265" s="1650"/>
      <c r="AF265" s="1650"/>
      <c r="AG265" s="1650"/>
      <c r="AH265" s="1650"/>
      <c r="AI265" s="1650"/>
      <c r="AJ265" s="1650"/>
      <c r="AK265" s="1650"/>
      <c r="AL265" s="1650"/>
      <c r="AM265" s="1650"/>
      <c r="AO265" s="1169"/>
      <c r="AP265" s="1645"/>
      <c r="AQ265" s="1645"/>
      <c r="AR265" s="1169"/>
      <c r="AS265" s="1169"/>
      <c r="AT265" s="1169"/>
      <c r="AU265" s="1169"/>
      <c r="AV265" s="1645"/>
      <c r="AW265" s="1169"/>
      <c r="AX265" s="1169"/>
      <c r="AY265" s="553"/>
      <c r="AZ265" s="1169"/>
      <c r="BA265" s="1169"/>
      <c r="BB265" s="1169"/>
      <c r="BC265" s="1169"/>
      <c r="BD265" s="1169"/>
      <c r="BE265" s="1641"/>
      <c r="BF265" s="575"/>
      <c r="BG265" s="575"/>
      <c r="BH265" s="575"/>
      <c r="BI265" s="575"/>
      <c r="BJ265" s="1650">
        <v>11</v>
      </c>
    </row>
    <row s="1650" customFormat="1" customHeight="1" ht="11.549999999999999">
      <c r="A266" s="996"/>
      <c r="B266" s="1645"/>
      <c r="C266" s="1645"/>
      <c r="D266" s="360"/>
      <c r="J266" s="1650"/>
      <c r="K266" s="1650"/>
      <c r="L266" s="1650"/>
      <c r="M266" s="1650"/>
      <c r="N266" s="1650"/>
      <c r="O266" s="1650"/>
      <c r="P266" s="1650"/>
      <c r="Q266" s="1650"/>
      <c r="R266" s="1650"/>
      <c r="S266" s="1650"/>
      <c r="T266" s="1650"/>
      <c r="U266" s="1650"/>
      <c r="V266" s="1650"/>
      <c r="W266" s="1650"/>
      <c r="X266" s="1650"/>
      <c r="Y266" s="1650"/>
      <c r="Z266" s="1650"/>
      <c r="AA266" s="1650"/>
      <c r="AB266" s="1650"/>
      <c r="AC266" s="1650"/>
      <c r="AD266" s="1650"/>
      <c r="AE266" s="1650"/>
      <c r="AF266" s="1650"/>
      <c r="AG266" s="1650"/>
      <c r="AH266" s="1650"/>
      <c r="AI266" s="1650"/>
      <c r="AJ266" s="1650"/>
      <c r="AK266" s="1650"/>
      <c r="AL266" s="1650"/>
      <c r="AM266" s="1650"/>
      <c r="AO266" s="1169"/>
      <c r="AP266" s="1645"/>
      <c r="AQ266" s="1645"/>
      <c r="AR266" s="1169"/>
      <c r="AS266" s="1169"/>
      <c r="AT266" s="1169"/>
      <c r="AU266" s="1169"/>
      <c r="AV266" s="1645"/>
      <c r="AW266" s="1169"/>
      <c r="AX266" s="1169"/>
      <c r="AY266" s="553"/>
      <c r="AZ266" s="1169"/>
      <c r="BA266" s="1169"/>
      <c r="BB266" s="1169"/>
      <c r="BC266" s="1169"/>
      <c r="BD266" s="1169"/>
      <c r="BE266" s="1641"/>
      <c r="BF266" s="575"/>
      <c r="BG266" s="575"/>
      <c r="BH266" s="575"/>
      <c r="BI266" s="575"/>
      <c r="BJ266" s="1650">
        <v>11</v>
      </c>
    </row>
    <row s="1650" customFormat="1" customHeight="1" ht="11.549999999999999">
      <c r="A267" s="996"/>
      <c r="B267" s="1645"/>
      <c r="C267" s="1645"/>
      <c r="D267" s="360"/>
      <c r="J267" s="1650"/>
      <c r="K267" s="1650"/>
      <c r="L267" s="1650"/>
      <c r="M267" s="1650"/>
      <c r="N267" s="1650"/>
      <c r="O267" s="1650"/>
      <c r="P267" s="1650"/>
      <c r="Q267" s="1650"/>
      <c r="R267" s="1650"/>
      <c r="S267" s="1650"/>
      <c r="T267" s="1650"/>
      <c r="U267" s="1650"/>
      <c r="V267" s="1650"/>
      <c r="W267" s="1650"/>
      <c r="X267" s="1650"/>
      <c r="Y267" s="1650"/>
      <c r="Z267" s="1650"/>
      <c r="AA267" s="1650"/>
      <c r="AB267" s="1650"/>
      <c r="AC267" s="1650"/>
      <c r="AD267" s="1650"/>
      <c r="AE267" s="1650"/>
      <c r="AF267" s="1650"/>
      <c r="AG267" s="1650"/>
      <c r="AH267" s="1650"/>
      <c r="AI267" s="1650"/>
      <c r="AJ267" s="1650"/>
      <c r="AK267" s="1650"/>
      <c r="AL267" s="1650"/>
      <c r="AM267" s="1650"/>
      <c r="AO267" s="1169"/>
      <c r="AP267" s="1645"/>
      <c r="AQ267" s="1645"/>
      <c r="AR267" s="1169"/>
      <c r="AS267" s="1169"/>
      <c r="AT267" s="1169"/>
      <c r="AU267" s="1169"/>
      <c r="AV267" s="1645"/>
      <c r="AW267" s="1169"/>
      <c r="AX267" s="1169"/>
      <c r="AY267" s="553"/>
      <c r="AZ267" s="1169"/>
      <c r="BA267" s="1169"/>
      <c r="BB267" s="1169"/>
      <c r="BC267" s="1169"/>
      <c r="BD267" s="1169"/>
      <c r="BE267" s="1641"/>
      <c r="BF267" s="575"/>
      <c r="BG267" s="575"/>
      <c r="BH267" s="575"/>
      <c r="BI267" s="575"/>
      <c r="BJ267" s="1650">
        <v>11</v>
      </c>
    </row>
    <row s="1650" customFormat="1" customHeight="1" ht="11.549999999999999">
      <c r="A268" s="996"/>
      <c r="B268" s="1645"/>
      <c r="C268" s="1645"/>
      <c r="D268" s="360"/>
      <c r="J268" s="1650"/>
      <c r="K268" s="1650"/>
      <c r="L268" s="1650"/>
      <c r="M268" s="1650"/>
      <c r="N268" s="1650"/>
      <c r="O268" s="1650"/>
      <c r="P268" s="1650"/>
      <c r="Q268" s="1650"/>
      <c r="R268" s="1650"/>
      <c r="S268" s="1650"/>
      <c r="T268" s="1650"/>
      <c r="U268" s="1650"/>
      <c r="V268" s="1650"/>
      <c r="W268" s="1650"/>
      <c r="X268" s="1650"/>
      <c r="Y268" s="1650"/>
      <c r="Z268" s="1650"/>
      <c r="AA268" s="1650"/>
      <c r="AB268" s="1650"/>
      <c r="AC268" s="1650"/>
      <c r="AD268" s="1650"/>
      <c r="AE268" s="1650"/>
      <c r="AF268" s="1650"/>
      <c r="AG268" s="1650"/>
      <c r="AH268" s="1650"/>
      <c r="AI268" s="1650"/>
      <c r="AJ268" s="1650"/>
      <c r="AK268" s="1650"/>
      <c r="AL268" s="1650"/>
      <c r="AM268" s="1650"/>
      <c r="AO268" s="1169"/>
      <c r="AP268" s="1645"/>
      <c r="AQ268" s="1645"/>
      <c r="AR268" s="1169"/>
      <c r="AS268" s="1169"/>
      <c r="AT268" s="1169"/>
      <c r="AU268" s="1169"/>
      <c r="AV268" s="1645"/>
      <c r="AW268" s="1169"/>
      <c r="AX268" s="1169"/>
      <c r="AY268" s="553"/>
      <c r="AZ268" s="1169"/>
      <c r="BA268" s="1169"/>
      <c r="BB268" s="1169"/>
      <c r="BC268" s="1169"/>
      <c r="BD268" s="1169"/>
      <c r="BE268" s="1641"/>
      <c r="BF268" s="575"/>
      <c r="BG268" s="575"/>
      <c r="BH268" s="575"/>
      <c r="BI268" s="575"/>
      <c r="BJ268" s="1650">
        <v>11</v>
      </c>
    </row>
    <row s="1650" customFormat="1" customHeight="1" ht="11.549999999999999">
      <c r="A269" s="996"/>
      <c r="B269" s="1645"/>
      <c r="C269" s="1645"/>
      <c r="D269" s="360"/>
      <c r="J269" s="1650"/>
      <c r="K269" s="1650"/>
      <c r="L269" s="1650"/>
      <c r="M269" s="1650"/>
      <c r="N269" s="1650"/>
      <c r="O269" s="1650"/>
      <c r="P269" s="1650"/>
      <c r="Q269" s="1650"/>
      <c r="R269" s="1650"/>
      <c r="S269" s="1650"/>
      <c r="T269" s="1650"/>
      <c r="U269" s="1650"/>
      <c r="V269" s="1650"/>
      <c r="W269" s="1650"/>
      <c r="X269" s="1650"/>
      <c r="Y269" s="1650"/>
      <c r="Z269" s="1650"/>
      <c r="AA269" s="1650"/>
      <c r="AB269" s="1650"/>
      <c r="AC269" s="1650"/>
      <c r="AD269" s="1650"/>
      <c r="AE269" s="1650"/>
      <c r="AF269" s="1650"/>
      <c r="AG269" s="1650"/>
      <c r="AH269" s="1650"/>
      <c r="AI269" s="1650"/>
      <c r="AJ269" s="1650"/>
      <c r="AK269" s="1650"/>
      <c r="AL269" s="1650"/>
      <c r="AM269" s="1650"/>
      <c r="AO269" s="1169"/>
      <c r="AP269" s="1645"/>
      <c r="AQ269" s="1645"/>
      <c r="AR269" s="1169"/>
      <c r="AS269" s="1169"/>
      <c r="AT269" s="1169"/>
      <c r="AU269" s="1169"/>
      <c r="AV269" s="1645"/>
      <c r="AW269" s="1169"/>
      <c r="AX269" s="1169"/>
      <c r="AY269" s="553"/>
      <c r="AZ269" s="1169"/>
      <c r="BA269" s="1169"/>
      <c r="BB269" s="1169"/>
      <c r="BC269" s="1169"/>
      <c r="BD269" s="1169"/>
      <c r="BE269" s="1641"/>
      <c r="BF269" s="575"/>
      <c r="BG269" s="575"/>
      <c r="BH269" s="575"/>
      <c r="BI269" s="575"/>
      <c r="BJ269" s="1650">
        <v>11</v>
      </c>
    </row>
    <row s="1650" customFormat="1" customHeight="1" ht="11.549999999999999">
      <c r="A270" s="996"/>
      <c r="B270" s="1645"/>
      <c r="C270" s="1645"/>
      <c r="D270" s="360"/>
      <c r="J270" s="1650"/>
      <c r="K270" s="1650"/>
      <c r="L270" s="1650"/>
      <c r="M270" s="1650"/>
      <c r="N270" s="1650"/>
      <c r="O270" s="1650"/>
      <c r="P270" s="1650"/>
      <c r="Q270" s="1650"/>
      <c r="R270" s="1650"/>
      <c r="S270" s="1650"/>
      <c r="T270" s="1650"/>
      <c r="U270" s="1650"/>
      <c r="V270" s="1650"/>
      <c r="W270" s="1650"/>
      <c r="X270" s="1650"/>
      <c r="Y270" s="1650"/>
      <c r="Z270" s="1650"/>
      <c r="AA270" s="1650"/>
      <c r="AB270" s="1650"/>
      <c r="AC270" s="1650"/>
      <c r="AD270" s="1650"/>
      <c r="AE270" s="1650"/>
      <c r="AF270" s="1650"/>
      <c r="AG270" s="1650"/>
      <c r="AH270" s="1650"/>
      <c r="AI270" s="1650"/>
      <c r="AJ270" s="1650"/>
      <c r="AK270" s="1650"/>
      <c r="AL270" s="1650"/>
      <c r="AM270" s="1650"/>
      <c r="AO270" s="1169"/>
      <c r="AP270" s="1645"/>
      <c r="AQ270" s="1645"/>
      <c r="AR270" s="1169"/>
      <c r="AS270" s="1169"/>
      <c r="AT270" s="1169"/>
      <c r="AU270" s="1169"/>
      <c r="AV270" s="1645"/>
      <c r="AW270" s="1169"/>
      <c r="AX270" s="1169"/>
      <c r="AY270" s="553"/>
      <c r="AZ270" s="1169"/>
      <c r="BA270" s="1169"/>
      <c r="BB270" s="1169"/>
      <c r="BC270" s="1169"/>
      <c r="BD270" s="1169"/>
      <c r="BE270" s="1641"/>
      <c r="BF270" s="575"/>
      <c r="BG270" s="575"/>
      <c r="BH270" s="575"/>
      <c r="BI270" s="575"/>
      <c r="BJ270" s="1650">
        <v>11</v>
      </c>
    </row>
    <row s="1650" customFormat="1" customHeight="1" ht="11.549999999999999">
      <c r="A271" s="996"/>
      <c r="B271" s="1645"/>
      <c r="C271" s="1645"/>
      <c r="D271" s="360"/>
      <c r="J271" s="1650"/>
      <c r="K271" s="1650"/>
      <c r="L271" s="1650"/>
      <c r="M271" s="1650"/>
      <c r="N271" s="1650"/>
      <c r="O271" s="1650"/>
      <c r="P271" s="1650"/>
      <c r="Q271" s="1650"/>
      <c r="R271" s="1650"/>
      <c r="S271" s="1650"/>
      <c r="T271" s="1650"/>
      <c r="U271" s="1650"/>
      <c r="V271" s="1650"/>
      <c r="W271" s="1650"/>
      <c r="X271" s="1650"/>
      <c r="Y271" s="1650"/>
      <c r="Z271" s="1650"/>
      <c r="AA271" s="1650"/>
      <c r="AB271" s="1650"/>
      <c r="AC271" s="1650"/>
      <c r="AD271" s="1650"/>
      <c r="AE271" s="1650"/>
      <c r="AF271" s="1650"/>
      <c r="AG271" s="1650"/>
      <c r="AH271" s="1650"/>
      <c r="AI271" s="1650"/>
      <c r="AJ271" s="1650"/>
      <c r="AK271" s="1650"/>
      <c r="AL271" s="1650"/>
      <c r="AM271" s="1650"/>
      <c r="AO271" s="1169"/>
      <c r="AP271" s="1645"/>
      <c r="AQ271" s="1645"/>
      <c r="AR271" s="1169"/>
      <c r="AS271" s="1169"/>
      <c r="AT271" s="1169"/>
      <c r="AU271" s="1169"/>
      <c r="AV271" s="1645"/>
      <c r="AW271" s="1169"/>
      <c r="AX271" s="1169"/>
      <c r="AY271" s="553"/>
      <c r="AZ271" s="1169"/>
      <c r="BA271" s="1169"/>
      <c r="BB271" s="1169"/>
      <c r="BC271" s="1169"/>
      <c r="BD271" s="1169"/>
      <c r="BE271" s="1641"/>
      <c r="BF271" s="575"/>
      <c r="BG271" s="575"/>
      <c r="BH271" s="575"/>
      <c r="BI271" s="575"/>
      <c r="BJ271" s="1650">
        <v>11</v>
      </c>
    </row>
    <row s="1650" customFormat="1" customHeight="1" ht="11.549999999999999">
      <c r="A272" s="996"/>
      <c r="B272" s="1645"/>
      <c r="C272" s="1645"/>
      <c r="D272" s="360"/>
      <c r="J272" s="1650"/>
      <c r="K272" s="1650"/>
      <c r="L272" s="1650"/>
      <c r="M272" s="1650"/>
      <c r="N272" s="1650"/>
      <c r="O272" s="1650"/>
      <c r="P272" s="1650"/>
      <c r="Q272" s="1650"/>
      <c r="R272" s="1650"/>
      <c r="S272" s="1650"/>
      <c r="T272" s="1650"/>
      <c r="U272" s="1650"/>
      <c r="V272" s="1650"/>
      <c r="W272" s="1650"/>
      <c r="X272" s="1650"/>
      <c r="Y272" s="1650"/>
      <c r="Z272" s="1650"/>
      <c r="AA272" s="1650"/>
      <c r="AB272" s="1650"/>
      <c r="AC272" s="1650"/>
      <c r="AD272" s="1650"/>
      <c r="AE272" s="1650"/>
      <c r="AF272" s="1650"/>
      <c r="AG272" s="1650"/>
      <c r="AH272" s="1650"/>
      <c r="AI272" s="1650"/>
      <c r="AJ272" s="1650"/>
      <c r="AK272" s="1650"/>
      <c r="AL272" s="1650"/>
      <c r="AM272" s="1650"/>
      <c r="AO272" s="1169"/>
      <c r="AP272" s="1645"/>
      <c r="AQ272" s="1645"/>
      <c r="AR272" s="1169"/>
      <c r="AS272" s="1169"/>
      <c r="AT272" s="1169"/>
      <c r="AU272" s="1169"/>
      <c r="AV272" s="1645"/>
      <c r="AW272" s="1169"/>
      <c r="AX272" s="1169"/>
      <c r="AY272" s="553"/>
      <c r="AZ272" s="1169"/>
      <c r="BA272" s="1169"/>
      <c r="BB272" s="1169"/>
      <c r="BC272" s="1169"/>
      <c r="BD272" s="1169"/>
      <c r="BE272" s="1641"/>
      <c r="BF272" s="575"/>
      <c r="BG272" s="575"/>
      <c r="BH272" s="575"/>
      <c r="BI272" s="575"/>
      <c r="BJ272" s="1650">
        <v>11</v>
      </c>
    </row>
    <row s="1650" customFormat="1" customHeight="1" ht="11.549999999999999">
      <c r="A273" s="996"/>
      <c r="B273" s="1645"/>
      <c r="C273" s="1645"/>
      <c r="D273" s="360"/>
      <c r="J273" s="1650"/>
      <c r="K273" s="1650"/>
      <c r="L273" s="1650"/>
      <c r="M273" s="1650"/>
      <c r="N273" s="1650"/>
      <c r="O273" s="1650"/>
      <c r="P273" s="1650"/>
      <c r="Q273" s="1650"/>
      <c r="R273" s="1650"/>
      <c r="S273" s="1650"/>
      <c r="T273" s="1650"/>
      <c r="U273" s="1650"/>
      <c r="V273" s="1650"/>
      <c r="W273" s="1650"/>
      <c r="X273" s="1650"/>
      <c r="Y273" s="1650"/>
      <c r="Z273" s="1650"/>
      <c r="AA273" s="1650"/>
      <c r="AB273" s="1650"/>
      <c r="AC273" s="1650"/>
      <c r="AD273" s="1650"/>
      <c r="AE273" s="1650"/>
      <c r="AF273" s="1650"/>
      <c r="AG273" s="1650"/>
      <c r="AH273" s="1650"/>
      <c r="AI273" s="1650"/>
      <c r="AJ273" s="1650"/>
      <c r="AK273" s="1650"/>
      <c r="AL273" s="1650"/>
      <c r="AM273" s="1650"/>
      <c r="AO273" s="1169"/>
      <c r="AP273" s="1645"/>
      <c r="AQ273" s="1645"/>
      <c r="AR273" s="1169"/>
      <c r="AS273" s="1169"/>
      <c r="AT273" s="1169"/>
      <c r="AU273" s="1169"/>
      <c r="AV273" s="1645"/>
      <c r="AW273" s="1169"/>
      <c r="AX273" s="1169"/>
      <c r="AY273" s="553"/>
      <c r="AZ273" s="1169"/>
      <c r="BA273" s="1169"/>
      <c r="BB273" s="1169"/>
      <c r="BC273" s="1169"/>
      <c r="BD273" s="1169"/>
      <c r="BE273" s="1641"/>
      <c r="BF273" s="575"/>
      <c r="BG273" s="575"/>
      <c r="BH273" s="575"/>
      <c r="BI273" s="575"/>
      <c r="BJ273" s="1650">
        <v>11</v>
      </c>
    </row>
    <row s="1650" customFormat="1" customHeight="1" ht="11.549999999999999">
      <c r="A274" s="996"/>
      <c r="B274" s="1645"/>
      <c r="C274" s="1645"/>
      <c r="D274" s="360"/>
      <c r="J274" s="1650"/>
      <c r="K274" s="1650"/>
      <c r="L274" s="1650"/>
      <c r="M274" s="1650"/>
      <c r="N274" s="1650"/>
      <c r="O274" s="1650"/>
      <c r="P274" s="1650"/>
      <c r="Q274" s="1650"/>
      <c r="R274" s="1650"/>
      <c r="S274" s="1650"/>
      <c r="T274" s="1650"/>
      <c r="U274" s="1650"/>
      <c r="V274" s="1650"/>
      <c r="W274" s="1650"/>
      <c r="X274" s="1650"/>
      <c r="Y274" s="1650"/>
      <c r="Z274" s="1650"/>
      <c r="AA274" s="1650"/>
      <c r="AB274" s="1650"/>
      <c r="AC274" s="1650"/>
      <c r="AD274" s="1650"/>
      <c r="AE274" s="1650"/>
      <c r="AF274" s="1650"/>
      <c r="AG274" s="1650"/>
      <c r="AH274" s="1650"/>
      <c r="AI274" s="1650"/>
      <c r="AJ274" s="1650"/>
      <c r="AK274" s="1650"/>
      <c r="AL274" s="1650"/>
      <c r="AM274" s="1650"/>
      <c r="AO274" s="1169"/>
      <c r="AP274" s="1645"/>
      <c r="AQ274" s="1645"/>
      <c r="AR274" s="1169"/>
      <c r="AS274" s="1169"/>
      <c r="AT274" s="1169"/>
      <c r="AU274" s="1169"/>
      <c r="AV274" s="1645"/>
      <c r="AW274" s="1169"/>
      <c r="AX274" s="1169"/>
      <c r="AY274" s="553"/>
      <c r="AZ274" s="1169"/>
      <c r="BA274" s="1169"/>
      <c r="BB274" s="1169"/>
      <c r="BC274" s="1169"/>
      <c r="BD274" s="1169"/>
      <c r="BE274" s="1641"/>
      <c r="BF274" s="575"/>
      <c r="BG274" s="575"/>
      <c r="BH274" s="575"/>
      <c r="BI274" s="575"/>
      <c r="BJ274" s="1650">
        <v>11</v>
      </c>
    </row>
    <row s="1650" customFormat="1" customHeight="1" ht="11.549999999999999">
      <c r="A275" s="996"/>
      <c r="B275" s="1645"/>
      <c r="C275" s="1645"/>
      <c r="D275" s="360"/>
      <c r="J275" s="1650"/>
      <c r="K275" s="1650"/>
      <c r="L275" s="1650"/>
      <c r="M275" s="1650"/>
      <c r="N275" s="1650"/>
      <c r="O275" s="1650"/>
      <c r="P275" s="1650"/>
      <c r="Q275" s="1650"/>
      <c r="R275" s="1650"/>
      <c r="S275" s="1650"/>
      <c r="T275" s="1650"/>
      <c r="U275" s="1650"/>
      <c r="V275" s="1650"/>
      <c r="W275" s="1650"/>
      <c r="X275" s="1650"/>
      <c r="Y275" s="1650"/>
      <c r="Z275" s="1650"/>
      <c r="AA275" s="1650"/>
      <c r="AB275" s="1650"/>
      <c r="AC275" s="1650"/>
      <c r="AD275" s="1650"/>
      <c r="AE275" s="1650"/>
      <c r="AF275" s="1650"/>
      <c r="AG275" s="1650"/>
      <c r="AH275" s="1650"/>
      <c r="AI275" s="1650"/>
      <c r="AJ275" s="1650"/>
      <c r="AK275" s="1650"/>
      <c r="AL275" s="1650"/>
      <c r="AM275" s="1650"/>
      <c r="AO275" s="1169"/>
      <c r="AP275" s="1645"/>
      <c r="AQ275" s="1645"/>
      <c r="AR275" s="1169"/>
      <c r="AS275" s="1169"/>
      <c r="AT275" s="1169"/>
      <c r="AU275" s="1169"/>
      <c r="AV275" s="1645"/>
      <c r="AW275" s="1169"/>
      <c r="AX275" s="1169"/>
      <c r="AY275" s="553"/>
      <c r="AZ275" s="1169"/>
      <c r="BA275" s="1169"/>
      <c r="BB275" s="1169"/>
      <c r="BC275" s="1169"/>
      <c r="BD275" s="1169"/>
      <c r="BE275" s="1641"/>
      <c r="BF275" s="575"/>
      <c r="BG275" s="575"/>
      <c r="BH275" s="575"/>
      <c r="BI275" s="575"/>
      <c r="BJ275" s="1650">
        <v>11</v>
      </c>
    </row>
    <row s="1650" customFormat="1" customHeight="1" ht="11.549999999999999">
      <c r="A276" s="996"/>
      <c r="B276" s="1645"/>
      <c r="C276" s="1645"/>
      <c r="D276" s="360"/>
      <c r="J276" s="1650"/>
      <c r="K276" s="1650"/>
      <c r="L276" s="1650"/>
      <c r="M276" s="1650"/>
      <c r="N276" s="1650"/>
      <c r="O276" s="1650"/>
      <c r="P276" s="1650"/>
      <c r="Q276" s="1650"/>
      <c r="R276" s="1650"/>
      <c r="S276" s="1650"/>
      <c r="T276" s="1650"/>
      <c r="U276" s="1650"/>
      <c r="V276" s="1650"/>
      <c r="W276" s="1650"/>
      <c r="X276" s="1650"/>
      <c r="Y276" s="1650"/>
      <c r="Z276" s="1650"/>
      <c r="AA276" s="1650"/>
      <c r="AB276" s="1650"/>
      <c r="AC276" s="1650"/>
      <c r="AD276" s="1650"/>
      <c r="AE276" s="1650"/>
      <c r="AF276" s="1650"/>
      <c r="AG276" s="1650"/>
      <c r="AH276" s="1650"/>
      <c r="AI276" s="1650"/>
      <c r="AJ276" s="1650"/>
      <c r="AK276" s="1650"/>
      <c r="AL276" s="1650"/>
      <c r="AM276" s="1650"/>
      <c r="AO276" s="1169"/>
      <c r="AP276" s="1645"/>
      <c r="AQ276" s="1645"/>
      <c r="AR276" s="1169"/>
      <c r="AS276" s="1169"/>
      <c r="AT276" s="1169"/>
      <c r="AU276" s="1169"/>
      <c r="AV276" s="1645"/>
      <c r="AW276" s="1169"/>
      <c r="AX276" s="1169"/>
      <c r="AY276" s="553"/>
      <c r="AZ276" s="1169"/>
      <c r="BA276" s="1169"/>
      <c r="BB276" s="1169"/>
      <c r="BC276" s="1169"/>
      <c r="BD276" s="1169"/>
      <c r="BE276" s="1641"/>
      <c r="BF276" s="575"/>
      <c r="BG276" s="575"/>
      <c r="BH276" s="575"/>
      <c r="BI276" s="575"/>
      <c r="BJ276" s="1650">
        <v>11</v>
      </c>
    </row>
    <row s="1650" customFormat="1" customHeight="1" ht="11.549999999999999">
      <c r="A277" s="996"/>
      <c r="B277" s="1645"/>
      <c r="C277" s="1645"/>
      <c r="D277" s="360"/>
      <c r="J277" s="1650"/>
      <c r="K277" s="1650"/>
      <c r="L277" s="1650"/>
      <c r="M277" s="1650"/>
      <c r="N277" s="1650"/>
      <c r="O277" s="1650"/>
      <c r="P277" s="1650"/>
      <c r="Q277" s="1650"/>
      <c r="R277" s="1650"/>
      <c r="S277" s="1650"/>
      <c r="T277" s="1650"/>
      <c r="U277" s="1650"/>
      <c r="V277" s="1650"/>
      <c r="W277" s="1650"/>
      <c r="X277" s="1650"/>
      <c r="Y277" s="1650"/>
      <c r="Z277" s="1650"/>
      <c r="AA277" s="1650"/>
      <c r="AB277" s="1650"/>
      <c r="AC277" s="1650"/>
      <c r="AD277" s="1650"/>
      <c r="AE277" s="1650"/>
      <c r="AF277" s="1650"/>
      <c r="AG277" s="1650"/>
      <c r="AH277" s="1650"/>
      <c r="AI277" s="1650"/>
      <c r="AJ277" s="1650"/>
      <c r="AK277" s="1650"/>
      <c r="AL277" s="1650"/>
      <c r="AM277" s="1650"/>
      <c r="AO277" s="1169"/>
      <c r="AP277" s="1645"/>
      <c r="AQ277" s="1645"/>
      <c r="AR277" s="1169"/>
      <c r="AS277" s="1169"/>
      <c r="AT277" s="1169"/>
      <c r="AU277" s="1169"/>
      <c r="AV277" s="1645"/>
      <c r="AW277" s="1169"/>
      <c r="AX277" s="1169"/>
      <c r="AY277" s="553"/>
      <c r="AZ277" s="1169"/>
      <c r="BA277" s="1169"/>
      <c r="BB277" s="1169"/>
      <c r="BC277" s="1169"/>
      <c r="BD277" s="1169"/>
      <c r="BE277" s="1641"/>
      <c r="BF277" s="575"/>
      <c r="BG277" s="575"/>
      <c r="BH277" s="575"/>
      <c r="BI277" s="575"/>
      <c r="BJ277" s="1650">
        <v>11</v>
      </c>
    </row>
    <row s="1650" customFormat="1" customHeight="1" ht="11.549999999999999">
      <c r="A278" s="996"/>
      <c r="B278" s="1645"/>
      <c r="C278" s="1645"/>
      <c r="D278" s="360"/>
      <c r="J278" s="1650"/>
      <c r="K278" s="1650"/>
      <c r="L278" s="1650"/>
      <c r="M278" s="1650"/>
      <c r="N278" s="1650"/>
      <c r="O278" s="1650"/>
      <c r="P278" s="1650"/>
      <c r="Q278" s="1650"/>
      <c r="R278" s="1650"/>
      <c r="S278" s="1650"/>
      <c r="T278" s="1650"/>
      <c r="U278" s="1650"/>
      <c r="V278" s="1650"/>
      <c r="W278" s="1650"/>
      <c r="X278" s="1650"/>
      <c r="Y278" s="1650"/>
      <c r="Z278" s="1650"/>
      <c r="AA278" s="1650"/>
      <c r="AB278" s="1650"/>
      <c r="AC278" s="1650"/>
      <c r="AD278" s="1650"/>
      <c r="AE278" s="1650"/>
      <c r="AF278" s="1650"/>
      <c r="AG278" s="1650"/>
      <c r="AH278" s="1650"/>
      <c r="AI278" s="1650"/>
      <c r="AJ278" s="1650"/>
      <c r="AK278" s="1650"/>
      <c r="AL278" s="1650"/>
      <c r="AM278" s="1650"/>
      <c r="AO278" s="1169"/>
      <c r="AP278" s="1645"/>
      <c r="AQ278" s="1645"/>
      <c r="AR278" s="1169"/>
      <c r="AS278" s="1169"/>
      <c r="AT278" s="1169"/>
      <c r="AU278" s="1169"/>
      <c r="AV278" s="1645"/>
      <c r="AW278" s="1169"/>
      <c r="AX278" s="1169"/>
      <c r="AY278" s="553"/>
      <c r="AZ278" s="1169"/>
      <c r="BA278" s="1169"/>
      <c r="BB278" s="1169"/>
      <c r="BC278" s="1169"/>
      <c r="BD278" s="1169"/>
      <c r="BE278" s="1641"/>
      <c r="BF278" s="575"/>
      <c r="BG278" s="575"/>
      <c r="BH278" s="575"/>
      <c r="BI278" s="575"/>
      <c r="BJ278" s="1650">
        <v>11</v>
      </c>
    </row>
    <row s="1650" customFormat="1" customHeight="1" ht="11.549999999999999">
      <c r="A279" s="996"/>
      <c r="B279" s="1645"/>
      <c r="C279" s="1645"/>
      <c r="D279" s="360"/>
      <c r="J279" s="1650"/>
      <c r="K279" s="1650"/>
      <c r="L279" s="1650"/>
      <c r="M279" s="1650"/>
      <c r="N279" s="1650"/>
      <c r="O279" s="1650"/>
      <c r="P279" s="1650"/>
      <c r="Q279" s="1650"/>
      <c r="R279" s="1650"/>
      <c r="S279" s="1650"/>
      <c r="T279" s="1650"/>
      <c r="U279" s="1650"/>
      <c r="V279" s="1650"/>
      <c r="W279" s="1650"/>
      <c r="X279" s="1650"/>
      <c r="Y279" s="1650"/>
      <c r="Z279" s="1650"/>
      <c r="AA279" s="1650"/>
      <c r="AB279" s="1650"/>
      <c r="AC279" s="1650"/>
      <c r="AD279" s="1650"/>
      <c r="AE279" s="1650"/>
      <c r="AF279" s="1650"/>
      <c r="AG279" s="1650"/>
      <c r="AH279" s="1650"/>
      <c r="AI279" s="1650"/>
      <c r="AJ279" s="1650"/>
      <c r="AK279" s="1650"/>
      <c r="AL279" s="1650"/>
      <c r="AM279" s="1650"/>
      <c r="AO279" s="1169"/>
      <c r="AP279" s="1645"/>
      <c r="AQ279" s="1645"/>
      <c r="AR279" s="1169"/>
      <c r="AS279" s="1169"/>
      <c r="AT279" s="1169"/>
      <c r="AU279" s="1169"/>
      <c r="AV279" s="1645"/>
      <c r="AW279" s="1169"/>
      <c r="AX279" s="1169"/>
      <c r="AY279" s="553"/>
      <c r="AZ279" s="1169"/>
      <c r="BA279" s="1169"/>
      <c r="BB279" s="1169"/>
      <c r="BC279" s="1169"/>
      <c r="BD279" s="1169"/>
      <c r="BE279" s="1641"/>
      <c r="BF279" s="575"/>
      <c r="BG279" s="575"/>
      <c r="BH279" s="575"/>
      <c r="BI279" s="575"/>
      <c r="BJ279" s="1650">
        <v>11</v>
      </c>
    </row>
    <row s="1650" customFormat="1" customHeight="1" ht="11.549999999999999">
      <c r="A280" s="996"/>
      <c r="B280" s="1645"/>
      <c r="C280" s="1645"/>
      <c r="D280" s="360"/>
      <c r="J280" s="1650"/>
      <c r="K280" s="1650"/>
      <c r="L280" s="1650"/>
      <c r="M280" s="1650"/>
      <c r="N280" s="1650"/>
      <c r="O280" s="1650"/>
      <c r="P280" s="1650"/>
      <c r="Q280" s="1650"/>
      <c r="R280" s="1650"/>
      <c r="S280" s="1650"/>
      <c r="T280" s="1650"/>
      <c r="U280" s="1650"/>
      <c r="V280" s="1650"/>
      <c r="W280" s="1650"/>
      <c r="X280" s="1650"/>
      <c r="Y280" s="1650"/>
      <c r="Z280" s="1650"/>
      <c r="AA280" s="1650"/>
      <c r="AB280" s="1650"/>
      <c r="AC280" s="1650"/>
      <c r="AD280" s="1650"/>
      <c r="AE280" s="1650"/>
      <c r="AF280" s="1650"/>
      <c r="AG280" s="1650"/>
      <c r="AH280" s="1650"/>
      <c r="AI280" s="1650"/>
      <c r="AJ280" s="1650"/>
      <c r="AK280" s="1650"/>
      <c r="AL280" s="1650"/>
      <c r="AM280" s="1650"/>
      <c r="AO280" s="1169"/>
      <c r="AP280" s="1645"/>
      <c r="AQ280" s="1645"/>
      <c r="AR280" s="1169"/>
      <c r="AS280" s="1169"/>
      <c r="AT280" s="1169"/>
      <c r="AU280" s="1169"/>
      <c r="AV280" s="1645"/>
      <c r="AW280" s="1169"/>
      <c r="AX280" s="1169"/>
      <c r="AY280" s="553"/>
      <c r="AZ280" s="1169"/>
      <c r="BA280" s="1169"/>
      <c r="BB280" s="1169"/>
      <c r="BC280" s="1169"/>
      <c r="BD280" s="1169"/>
      <c r="BE280" s="1641"/>
      <c r="BF280" s="575"/>
      <c r="BG280" s="575"/>
      <c r="BH280" s="575"/>
      <c r="BI280" s="575"/>
      <c r="BJ280" s="1650">
        <v>11</v>
      </c>
    </row>
    <row s="1650" customFormat="1" customHeight="1" ht="11.549999999999999">
      <c r="A281" s="996"/>
      <c r="B281" s="1645"/>
      <c r="C281" s="1645"/>
      <c r="D281" s="360"/>
      <c r="J281" s="1650"/>
      <c r="K281" s="1650"/>
      <c r="L281" s="1650"/>
      <c r="M281" s="1650"/>
      <c r="N281" s="1650"/>
      <c r="O281" s="1650"/>
      <c r="P281" s="1650"/>
      <c r="Q281" s="1650"/>
      <c r="R281" s="1650"/>
      <c r="S281" s="1650"/>
      <c r="T281" s="1650"/>
      <c r="U281" s="1650"/>
      <c r="V281" s="1650"/>
      <c r="W281" s="1650"/>
      <c r="X281" s="1650"/>
      <c r="Y281" s="1650"/>
      <c r="Z281" s="1650"/>
      <c r="AA281" s="1650"/>
      <c r="AB281" s="1650"/>
      <c r="AC281" s="1650"/>
      <c r="AD281" s="1650"/>
      <c r="AE281" s="1650"/>
      <c r="AF281" s="1650"/>
      <c r="AG281" s="1650"/>
      <c r="AH281" s="1650"/>
      <c r="AI281" s="1650"/>
      <c r="AJ281" s="1650"/>
      <c r="AK281" s="1650"/>
      <c r="AL281" s="1650"/>
      <c r="AM281" s="1650"/>
      <c r="AO281" s="1169"/>
      <c r="AP281" s="1645"/>
      <c r="AQ281" s="1645"/>
      <c r="AR281" s="1169"/>
      <c r="AS281" s="1169"/>
      <c r="AT281" s="1169"/>
      <c r="AU281" s="1169"/>
      <c r="AV281" s="1645"/>
      <c r="AW281" s="1169"/>
      <c r="AX281" s="1169"/>
      <c r="AY281" s="553"/>
      <c r="AZ281" s="1169"/>
      <c r="BA281" s="1169"/>
      <c r="BB281" s="1169"/>
      <c r="BC281" s="1169"/>
      <c r="BD281" s="1169"/>
      <c r="BE281" s="1641"/>
      <c r="BF281" s="575"/>
      <c r="BG281" s="575"/>
      <c r="BH281" s="575"/>
      <c r="BI281" s="575"/>
      <c r="BJ281" s="1650">
        <v>11</v>
      </c>
    </row>
    <row s="1650" customFormat="1" customHeight="1" ht="11.549999999999999">
      <c r="A282" s="996"/>
      <c r="B282" s="1645"/>
      <c r="C282" s="1645"/>
      <c r="D282" s="360"/>
      <c r="J282" s="1650"/>
      <c r="K282" s="1650"/>
      <c r="L282" s="1650"/>
      <c r="M282" s="1650"/>
      <c r="N282" s="1650"/>
      <c r="O282" s="1650"/>
      <c r="P282" s="1650"/>
      <c r="Q282" s="1650"/>
      <c r="R282" s="1650"/>
      <c r="S282" s="1650"/>
      <c r="T282" s="1650"/>
      <c r="U282" s="1650"/>
      <c r="V282" s="1650"/>
      <c r="W282" s="1650"/>
      <c r="X282" s="1650"/>
      <c r="Y282" s="1650"/>
      <c r="Z282" s="1650"/>
      <c r="AA282" s="1650"/>
      <c r="AB282" s="1650"/>
      <c r="AC282" s="1650"/>
      <c r="AD282" s="1650"/>
      <c r="AE282" s="1650"/>
      <c r="AF282" s="1650"/>
      <c r="AG282" s="1650"/>
      <c r="AH282" s="1650"/>
      <c r="AI282" s="1650"/>
      <c r="AJ282" s="1650"/>
      <c r="AK282" s="1650"/>
      <c r="AL282" s="1650"/>
      <c r="AM282" s="1650"/>
      <c r="AO282" s="1169"/>
      <c r="AP282" s="1645"/>
      <c r="AQ282" s="1645"/>
      <c r="AR282" s="1169"/>
      <c r="AS282" s="1169"/>
      <c r="AT282" s="1169"/>
      <c r="AU282" s="1169"/>
      <c r="AV282" s="1645"/>
      <c r="AW282" s="1169"/>
      <c r="AX282" s="1169"/>
      <c r="AY282" s="553"/>
      <c r="AZ282" s="1169"/>
      <c r="BA282" s="1169"/>
      <c r="BB282" s="1169"/>
      <c r="BC282" s="1169"/>
      <c r="BD282" s="1169"/>
      <c r="BE282" s="1641"/>
      <c r="BF282" s="575"/>
      <c r="BG282" s="575"/>
      <c r="BH282" s="575"/>
      <c r="BI282" s="575"/>
      <c r="BJ282" s="1650">
        <v>11</v>
      </c>
    </row>
    <row s="1650" customFormat="1" customHeight="1" ht="11.549999999999999">
      <c r="A283" s="996"/>
      <c r="B283" s="1645"/>
      <c r="C283" s="1645"/>
      <c r="D283" s="360"/>
      <c r="J283" s="1650"/>
      <c r="K283" s="1650"/>
      <c r="L283" s="1650"/>
      <c r="M283" s="1650"/>
      <c r="N283" s="1650"/>
      <c r="O283" s="1650"/>
      <c r="P283" s="1650"/>
      <c r="Q283" s="1650"/>
      <c r="R283" s="1650"/>
      <c r="S283" s="1650"/>
      <c r="T283" s="1650"/>
      <c r="U283" s="1650"/>
      <c r="V283" s="1650"/>
      <c r="W283" s="1650"/>
      <c r="X283" s="1650"/>
      <c r="Y283" s="1650"/>
      <c r="Z283" s="1650"/>
      <c r="AA283" s="1650"/>
      <c r="AB283" s="1650"/>
      <c r="AC283" s="1650"/>
      <c r="AD283" s="1650"/>
      <c r="AE283" s="1650"/>
      <c r="AF283" s="1650"/>
      <c r="AG283" s="1650"/>
      <c r="AH283" s="1650"/>
      <c r="AI283" s="1650"/>
      <c r="AJ283" s="1650"/>
      <c r="AK283" s="1650"/>
      <c r="AL283" s="1650"/>
      <c r="AM283" s="1650"/>
      <c r="AO283" s="1169"/>
      <c r="AP283" s="1645"/>
      <c r="AQ283" s="1645"/>
      <c r="AR283" s="1169"/>
      <c r="AS283" s="1169"/>
      <c r="AT283" s="1169"/>
      <c r="AU283" s="1169"/>
      <c r="AV283" s="1645"/>
      <c r="AW283" s="1169"/>
      <c r="AX283" s="1169"/>
      <c r="AY283" s="553"/>
      <c r="AZ283" s="1169"/>
      <c r="BA283" s="1169"/>
      <c r="BB283" s="1169"/>
      <c r="BC283" s="1169"/>
      <c r="BD283" s="1169"/>
      <c r="BE283" s="1641"/>
      <c r="BF283" s="575"/>
      <c r="BG283" s="575"/>
      <c r="BH283" s="575"/>
      <c r="BI283" s="575"/>
      <c r="BJ283" s="1650">
        <v>11</v>
      </c>
    </row>
    <row s="1650" customFormat="1" customHeight="1" ht="11.549999999999999">
      <c r="A284" s="996"/>
      <c r="B284" s="1645"/>
      <c r="C284" s="1645"/>
      <c r="D284" s="360"/>
      <c r="J284" s="1650"/>
      <c r="K284" s="1650"/>
      <c r="L284" s="1650"/>
      <c r="M284" s="1650"/>
      <c r="N284" s="1650"/>
      <c r="O284" s="1650"/>
      <c r="P284" s="1650"/>
      <c r="Q284" s="1650"/>
      <c r="R284" s="1650"/>
      <c r="S284" s="1650"/>
      <c r="T284" s="1650"/>
      <c r="U284" s="1650"/>
      <c r="V284" s="1650"/>
      <c r="W284" s="1650"/>
      <c r="X284" s="1650"/>
      <c r="Y284" s="1650"/>
      <c r="Z284" s="1650"/>
      <c r="AA284" s="1650"/>
      <c r="AB284" s="1650"/>
      <c r="AC284" s="1650"/>
      <c r="AD284" s="1650"/>
      <c r="AE284" s="1650"/>
      <c r="AF284" s="1650"/>
      <c r="AG284" s="1650"/>
      <c r="AH284" s="1650"/>
      <c r="AI284" s="1650"/>
      <c r="AJ284" s="1650"/>
      <c r="AK284" s="1650"/>
      <c r="AL284" s="1650"/>
      <c r="AM284" s="1650"/>
      <c r="AO284" s="1169"/>
      <c r="AP284" s="1645"/>
      <c r="AQ284" s="1645"/>
      <c r="AR284" s="1169"/>
      <c r="AS284" s="1169"/>
      <c r="AT284" s="1169"/>
      <c r="AU284" s="1169"/>
      <c r="AV284" s="1645"/>
      <c r="AW284" s="1169"/>
      <c r="AX284" s="1169"/>
      <c r="AY284" s="553"/>
      <c r="AZ284" s="1169"/>
      <c r="BA284" s="1169"/>
      <c r="BB284" s="1169"/>
      <c r="BC284" s="1169"/>
      <c r="BD284" s="1169"/>
      <c r="BE284" s="1641"/>
      <c r="BF284" s="575"/>
      <c r="BG284" s="575"/>
      <c r="BH284" s="575"/>
      <c r="BI284" s="575"/>
      <c r="BJ284" s="1650">
        <v>11</v>
      </c>
    </row>
    <row s="1650" customFormat="1" customHeight="1" ht="11.549999999999999">
      <c r="A285" s="996"/>
      <c r="B285" s="1645"/>
      <c r="C285" s="1645"/>
      <c r="D285" s="360"/>
      <c r="J285" s="1650"/>
      <c r="K285" s="1650"/>
      <c r="L285" s="1650"/>
      <c r="M285" s="1650"/>
      <c r="N285" s="1650"/>
      <c r="O285" s="1650"/>
      <c r="P285" s="1650"/>
      <c r="Q285" s="1650"/>
      <c r="R285" s="1650"/>
      <c r="S285" s="1650"/>
      <c r="T285" s="1650"/>
      <c r="U285" s="1650"/>
      <c r="V285" s="1650"/>
      <c r="W285" s="1650"/>
      <c r="X285" s="1650"/>
      <c r="Y285" s="1650"/>
      <c r="Z285" s="1650"/>
      <c r="AA285" s="1650"/>
      <c r="AB285" s="1650"/>
      <c r="AC285" s="1650"/>
      <c r="AD285" s="1650"/>
      <c r="AE285" s="1650"/>
      <c r="AF285" s="1650"/>
      <c r="AG285" s="1650"/>
      <c r="AH285" s="1650"/>
      <c r="AI285" s="1650"/>
      <c r="AJ285" s="1650"/>
      <c r="AK285" s="1650"/>
      <c r="AL285" s="1650"/>
      <c r="AM285" s="1650"/>
      <c r="AO285" s="1169"/>
      <c r="AP285" s="1645"/>
      <c r="AQ285" s="1645"/>
      <c r="AR285" s="1169"/>
      <c r="AS285" s="1169"/>
      <c r="AT285" s="1169"/>
      <c r="AU285" s="1169"/>
      <c r="AV285" s="1645"/>
      <c r="AW285" s="1169"/>
      <c r="AX285" s="1169"/>
      <c r="AY285" s="553"/>
      <c r="AZ285" s="1169"/>
      <c r="BA285" s="1169"/>
      <c r="BB285" s="1169"/>
      <c r="BC285" s="1169"/>
      <c r="BD285" s="1169"/>
      <c r="BE285" s="1641"/>
      <c r="BF285" s="575"/>
      <c r="BG285" s="575"/>
      <c r="BH285" s="575"/>
      <c r="BI285" s="575"/>
      <c r="BJ285" s="1650">
        <v>11</v>
      </c>
    </row>
    <row s="1650" customFormat="1" customHeight="1" ht="11.549999999999999">
      <c r="A286" s="996"/>
      <c r="B286" s="1645"/>
      <c r="C286" s="1645"/>
      <c r="D286" s="360"/>
      <c r="J286" s="1650"/>
      <c r="K286" s="1650"/>
      <c r="L286" s="1650"/>
      <c r="M286" s="1650"/>
      <c r="N286" s="1650"/>
      <c r="O286" s="1650"/>
      <c r="P286" s="1650"/>
      <c r="Q286" s="1650"/>
      <c r="R286" s="1650"/>
      <c r="S286" s="1650"/>
      <c r="T286" s="1650"/>
      <c r="U286" s="1650"/>
      <c r="V286" s="1650"/>
      <c r="W286" s="1650"/>
      <c r="X286" s="1650"/>
      <c r="Y286" s="1650"/>
      <c r="Z286" s="1650"/>
      <c r="AA286" s="1650"/>
      <c r="AB286" s="1650"/>
      <c r="AC286" s="1650"/>
      <c r="AD286" s="1650"/>
      <c r="AE286" s="1650"/>
      <c r="AF286" s="1650"/>
      <c r="AG286" s="1650"/>
      <c r="AH286" s="1650"/>
      <c r="AI286" s="1650"/>
      <c r="AJ286" s="1650"/>
      <c r="AK286" s="1650"/>
      <c r="AL286" s="1650"/>
      <c r="AM286" s="1650"/>
      <c r="AO286" s="1169"/>
      <c r="AP286" s="1645"/>
      <c r="AQ286" s="1645"/>
      <c r="AR286" s="1169"/>
      <c r="AS286" s="1169"/>
      <c r="AT286" s="1169"/>
      <c r="AU286" s="1169"/>
      <c r="AV286" s="1645"/>
      <c r="AW286" s="1169"/>
      <c r="AX286" s="1169"/>
      <c r="AY286" s="553"/>
      <c r="AZ286" s="1169"/>
      <c r="BA286" s="1169"/>
      <c r="BB286" s="1169"/>
      <c r="BC286" s="1169"/>
      <c r="BD286" s="1169"/>
      <c r="BE286" s="1641"/>
      <c r="BF286" s="575"/>
      <c r="BG286" s="575"/>
      <c r="BH286" s="575"/>
      <c r="BI286" s="575"/>
      <c r="BJ286" s="1650">
        <v>11</v>
      </c>
    </row>
    <row s="1650" customFormat="1" customHeight="1" ht="11.549999999999999">
      <c r="A287" s="996"/>
      <c r="B287" s="1645"/>
      <c r="C287" s="1645"/>
      <c r="D287" s="360"/>
      <c r="J287" s="1650"/>
      <c r="K287" s="1650"/>
      <c r="L287" s="1650"/>
      <c r="M287" s="1650"/>
      <c r="N287" s="1650"/>
      <c r="O287" s="1650"/>
      <c r="P287" s="1650"/>
      <c r="Q287" s="1650"/>
      <c r="R287" s="1650"/>
      <c r="S287" s="1650"/>
      <c r="T287" s="1650"/>
      <c r="U287" s="1650"/>
      <c r="V287" s="1650"/>
      <c r="W287" s="1650"/>
      <c r="X287" s="1650"/>
      <c r="Y287" s="1650"/>
      <c r="Z287" s="1650"/>
      <c r="AA287" s="1650"/>
      <c r="AB287" s="1650"/>
      <c r="AC287" s="1650"/>
      <c r="AD287" s="1650"/>
      <c r="AE287" s="1650"/>
      <c r="AF287" s="1650"/>
      <c r="AG287" s="1650"/>
      <c r="AH287" s="1650"/>
      <c r="AI287" s="1650"/>
      <c r="AJ287" s="1650"/>
      <c r="AK287" s="1650"/>
      <c r="AL287" s="1650"/>
      <c r="AM287" s="1650"/>
      <c r="AO287" s="1169"/>
      <c r="AP287" s="1645"/>
      <c r="AQ287" s="1645"/>
      <c r="AR287" s="1169"/>
      <c r="AS287" s="1169"/>
      <c r="AT287" s="1169"/>
      <c r="AU287" s="1169"/>
      <c r="AV287" s="1645"/>
      <c r="AW287" s="1169"/>
      <c r="AX287" s="1169"/>
      <c r="AY287" s="553"/>
      <c r="AZ287" s="1169"/>
      <c r="BA287" s="1169"/>
      <c r="BB287" s="1169"/>
      <c r="BC287" s="1169"/>
      <c r="BD287" s="1169"/>
      <c r="BE287" s="1641"/>
      <c r="BF287" s="575"/>
      <c r="BG287" s="575"/>
      <c r="BH287" s="575"/>
      <c r="BI287" s="575"/>
      <c r="BJ287" s="1650">
        <v>11</v>
      </c>
    </row>
    <row s="1650" customFormat="1" customHeight="1" ht="11.549999999999999">
      <c r="A288" s="996"/>
      <c r="B288" s="1645"/>
      <c r="C288" s="1645"/>
      <c r="D288" s="360"/>
      <c r="J288" s="1650"/>
      <c r="K288" s="1650"/>
      <c r="L288" s="1650"/>
      <c r="M288" s="1650"/>
      <c r="N288" s="1650"/>
      <c r="O288" s="1650"/>
      <c r="P288" s="1650"/>
      <c r="Q288" s="1650"/>
      <c r="R288" s="1650"/>
      <c r="S288" s="1650"/>
      <c r="T288" s="1650"/>
      <c r="U288" s="1650"/>
      <c r="V288" s="1650"/>
      <c r="W288" s="1650"/>
      <c r="X288" s="1650"/>
      <c r="Y288" s="1650"/>
      <c r="Z288" s="1650"/>
      <c r="AA288" s="1650"/>
      <c r="AB288" s="1650"/>
      <c r="AC288" s="1650"/>
      <c r="AD288" s="1650"/>
      <c r="AE288" s="1650"/>
      <c r="AF288" s="1650"/>
      <c r="AG288" s="1650"/>
      <c r="AH288" s="1650"/>
      <c r="AI288" s="1650"/>
      <c r="AJ288" s="1650"/>
      <c r="AK288" s="1650"/>
      <c r="AL288" s="1650"/>
      <c r="AM288" s="1650"/>
      <c r="AO288" s="1169"/>
      <c r="AP288" s="1645"/>
      <c r="AQ288" s="1645"/>
      <c r="AR288" s="1169"/>
      <c r="AS288" s="1169"/>
      <c r="AT288" s="1169"/>
      <c r="AU288" s="1169"/>
      <c r="AV288" s="1645"/>
      <c r="AW288" s="1169"/>
      <c r="AX288" s="1169"/>
      <c r="AY288" s="553"/>
      <c r="AZ288" s="1169"/>
      <c r="BA288" s="1169"/>
      <c r="BB288" s="1169"/>
      <c r="BC288" s="1169"/>
      <c r="BD288" s="1169"/>
      <c r="BE288" s="1641"/>
      <c r="BF288" s="575"/>
      <c r="BG288" s="575"/>
      <c r="BH288" s="575"/>
      <c r="BI288" s="575"/>
      <c r="BJ288" s="1650">
        <v>11</v>
      </c>
    </row>
    <row customHeight="1" ht="11.549999999999999">
      <c r="J289" s="1644"/>
      <c r="K289" s="1644"/>
      <c r="L289" s="1644"/>
      <c r="M289" s="1644"/>
      <c r="N289" s="1644"/>
      <c r="O289" s="1644"/>
      <c r="P289" s="1644"/>
      <c r="Q289" s="1644"/>
      <c r="R289" s="1644"/>
      <c r="S289" s="1644"/>
      <c r="T289" s="1644"/>
      <c r="U289" s="1644"/>
      <c r="V289" s="1644"/>
      <c r="W289" s="1644"/>
      <c r="X289" s="1644"/>
      <c r="Y289" s="1644"/>
      <c r="Z289" s="1644"/>
      <c r="AA289" s="1644"/>
      <c r="AB289" s="1644"/>
      <c r="AC289" s="1644"/>
      <c r="AD289" s="1644"/>
      <c r="AE289" s="1644"/>
      <c r="AF289" s="1644"/>
      <c r="AG289" s="1644"/>
      <c r="AH289" s="1644"/>
      <c r="AI289" s="1644"/>
      <c r="AJ289" s="1644"/>
      <c r="AK289" s="1644"/>
      <c r="AL289" s="1644"/>
      <c r="AM289" s="1644"/>
      <c r="BJ289" s="1640">
        <v>11</v>
      </c>
    </row>
    <row customHeight="1" ht="11.549999999999999">
      <c r="J290" s="1644"/>
      <c r="K290" s="1644"/>
      <c r="L290" s="1644"/>
      <c r="M290" s="1644"/>
      <c r="N290" s="1644"/>
      <c r="O290" s="1644"/>
      <c r="P290" s="1644"/>
      <c r="Q290" s="1644"/>
      <c r="R290" s="1644"/>
      <c r="S290" s="1644"/>
      <c r="T290" s="1644"/>
      <c r="U290" s="1644"/>
      <c r="V290" s="1644"/>
      <c r="W290" s="1644"/>
      <c r="X290" s="1644"/>
      <c r="Y290" s="1644"/>
      <c r="Z290" s="1644"/>
      <c r="AA290" s="1644"/>
      <c r="AB290" s="1644"/>
      <c r="AC290" s="1644"/>
      <c r="AD290" s="1644"/>
      <c r="AE290" s="1644"/>
      <c r="AF290" s="1644"/>
      <c r="AG290" s="1644"/>
      <c r="AH290" s="1644"/>
      <c r="AI290" s="1644"/>
      <c r="AJ290" s="1644"/>
      <c r="AK290" s="1644"/>
      <c r="AL290" s="1644"/>
      <c r="AM290" s="1644"/>
      <c r="BJ290" s="1640">
        <v>11</v>
      </c>
    </row>
    <row customHeight="1" ht="11.549999999999999">
      <c r="J291" s="1644"/>
      <c r="K291" s="1644"/>
      <c r="L291" s="1644"/>
      <c r="M291" s="1644"/>
      <c r="N291" s="1644"/>
      <c r="O291" s="1644"/>
      <c r="P291" s="1644"/>
      <c r="Q291" s="1644"/>
      <c r="R291" s="1644"/>
      <c r="S291" s="1644"/>
      <c r="T291" s="1644"/>
      <c r="U291" s="1644"/>
      <c r="V291" s="1644"/>
      <c r="W291" s="1644"/>
      <c r="X291" s="1644"/>
      <c r="Y291" s="1644"/>
      <c r="Z291" s="1644"/>
      <c r="AA291" s="1644"/>
      <c r="AB291" s="1644"/>
      <c r="AC291" s="1644"/>
      <c r="AD291" s="1644"/>
      <c r="AE291" s="1644"/>
      <c r="AF291" s="1644"/>
      <c r="AG291" s="1644"/>
      <c r="AH291" s="1644"/>
      <c r="AI291" s="1644"/>
      <c r="AJ291" s="1644"/>
      <c r="AK291" s="1644"/>
      <c r="AL291" s="1644"/>
      <c r="AM291" s="1644"/>
      <c r="BJ291" s="1640">
        <v>11</v>
      </c>
    </row>
    <row customHeight="1" ht="11.549999999999999">
      <c r="A292" s="999"/>
      <c r="B292" s="1640"/>
      <c r="D292" s="1640"/>
      <c r="J292" s="1644"/>
      <c r="K292" s="1644"/>
      <c r="L292" s="1644"/>
      <c r="M292" s="1644"/>
      <c r="N292" s="1644"/>
      <c r="O292" s="1644"/>
      <c r="P292" s="1644"/>
      <c r="Q292" s="1644"/>
      <c r="R292" s="1644"/>
      <c r="S292" s="1644"/>
      <c r="T292" s="1644"/>
      <c r="U292" s="1644"/>
      <c r="V292" s="1644"/>
      <c r="W292" s="1644"/>
      <c r="X292" s="1644"/>
      <c r="Y292" s="1644"/>
      <c r="Z292" s="1644"/>
      <c r="AA292" s="1644"/>
      <c r="AB292" s="1644"/>
      <c r="AC292" s="1644"/>
      <c r="AD292" s="1644"/>
      <c r="AE292" s="1644"/>
      <c r="AF292" s="1644"/>
      <c r="AG292" s="1644"/>
      <c r="AH292" s="1644"/>
      <c r="AI292" s="1644"/>
      <c r="AJ292" s="1644"/>
      <c r="AK292" s="1644"/>
      <c r="AL292" s="1644"/>
      <c r="AM292" s="1644"/>
      <c r="AO292" s="1640"/>
      <c r="AR292" s="1640"/>
      <c r="AS292" s="1640"/>
      <c r="AT292" s="1640"/>
      <c r="AU292" s="1640"/>
      <c r="AW292" s="1640"/>
      <c r="AX292" s="1640"/>
      <c r="AY292" s="1640"/>
      <c r="AZ292" s="1640"/>
      <c r="BA292" s="1640"/>
      <c r="BB292" s="1640"/>
      <c r="BC292" s="1640"/>
      <c r="BD292" s="1640"/>
      <c r="BE292" s="1640"/>
      <c r="BF292" s="1640"/>
      <c r="BG292" s="1640"/>
      <c r="BH292" s="1640"/>
      <c r="BI292" s="1640"/>
      <c r="BJ292" s="1640">
        <v>11</v>
      </c>
    </row>
    <row customHeight="1" ht="11.549999999999999">
      <c r="A293" s="999"/>
      <c r="B293" s="1640"/>
      <c r="D293" s="1640"/>
      <c r="J293" s="1644"/>
      <c r="K293" s="1644"/>
      <c r="L293" s="1644"/>
      <c r="M293" s="1644"/>
      <c r="N293" s="1644"/>
      <c r="O293" s="1644"/>
      <c r="P293" s="1644"/>
      <c r="Q293" s="1644"/>
      <c r="R293" s="1644"/>
      <c r="S293" s="1644"/>
      <c r="T293" s="1644"/>
      <c r="U293" s="1644"/>
      <c r="V293" s="1644"/>
      <c r="W293" s="1644"/>
      <c r="X293" s="1644"/>
      <c r="Y293" s="1644"/>
      <c r="Z293" s="1644"/>
      <c r="AA293" s="1644"/>
      <c r="AB293" s="1644"/>
      <c r="AC293" s="1644"/>
      <c r="AD293" s="1644"/>
      <c r="AE293" s="1644"/>
      <c r="AF293" s="1644"/>
      <c r="AG293" s="1644"/>
      <c r="AH293" s="1644"/>
      <c r="AI293" s="1644"/>
      <c r="AJ293" s="1644"/>
      <c r="AK293" s="1644"/>
      <c r="AL293" s="1644"/>
      <c r="AM293" s="1644"/>
      <c r="AO293" s="1640"/>
      <c r="AR293" s="1640"/>
      <c r="AS293" s="1640"/>
      <c r="AT293" s="1640"/>
      <c r="AU293" s="1640"/>
      <c r="AW293" s="1640"/>
      <c r="AX293" s="1640"/>
      <c r="AY293" s="1640"/>
      <c r="AZ293" s="1640"/>
      <c r="BA293" s="1640"/>
      <c r="BB293" s="1640"/>
      <c r="BC293" s="1640"/>
      <c r="BD293" s="1640"/>
      <c r="BE293" s="1640"/>
      <c r="BF293" s="1640"/>
      <c r="BG293" s="1640"/>
      <c r="BH293" s="1640"/>
      <c r="BI293" s="1640"/>
      <c r="BJ293" s="1640">
        <v>11</v>
      </c>
    </row>
    <row customHeight="1" ht="11.549999999999999">
      <c r="A294" s="999"/>
      <c r="B294" s="1640"/>
      <c r="D294" s="1640"/>
      <c r="J294" s="1644"/>
      <c r="K294" s="1644"/>
      <c r="L294" s="1644"/>
      <c r="M294" s="1644"/>
      <c r="N294" s="1644"/>
      <c r="O294" s="1644"/>
      <c r="P294" s="1644"/>
      <c r="Q294" s="1644"/>
      <c r="R294" s="1644"/>
      <c r="S294" s="1644"/>
      <c r="T294" s="1644"/>
      <c r="U294" s="1644"/>
      <c r="V294" s="1644"/>
      <c r="W294" s="1644"/>
      <c r="X294" s="1644"/>
      <c r="Y294" s="1644"/>
      <c r="Z294" s="1644"/>
      <c r="AA294" s="1644"/>
      <c r="AB294" s="1644"/>
      <c r="AC294" s="1644"/>
      <c r="AD294" s="1644"/>
      <c r="AE294" s="1644"/>
      <c r="AF294" s="1644"/>
      <c r="AG294" s="1644"/>
      <c r="AH294" s="1644"/>
      <c r="AI294" s="1644"/>
      <c r="AJ294" s="1644"/>
      <c r="AK294" s="1644"/>
      <c r="AL294" s="1644"/>
      <c r="AM294" s="1644"/>
      <c r="AO294" s="1640"/>
      <c r="AR294" s="1640"/>
      <c r="AS294" s="1640"/>
      <c r="AT294" s="1640"/>
      <c r="AU294" s="1640"/>
      <c r="AW294" s="1640"/>
      <c r="AX294" s="1640"/>
      <c r="AY294" s="1640"/>
      <c r="AZ294" s="1640"/>
      <c r="BA294" s="1640"/>
      <c r="BB294" s="1640"/>
      <c r="BC294" s="1640"/>
      <c r="BD294" s="1640"/>
      <c r="BE294" s="1640"/>
      <c r="BF294" s="1640"/>
      <c r="BG294" s="1640"/>
      <c r="BH294" s="1640"/>
      <c r="BI294" s="1640"/>
      <c r="BJ294" s="1640">
        <v>11</v>
      </c>
    </row>
    <row customHeight="1" ht="11.549999999999999">
      <c r="A295" s="999"/>
      <c r="B295" s="1640"/>
      <c r="D295" s="1640"/>
      <c r="J295" s="1644"/>
      <c r="K295" s="1644"/>
      <c r="L295" s="1644"/>
      <c r="M295" s="1644"/>
      <c r="N295" s="1644"/>
      <c r="O295" s="1644"/>
      <c r="P295" s="1644"/>
      <c r="Q295" s="1644"/>
      <c r="R295" s="1644"/>
      <c r="S295" s="1644"/>
      <c r="T295" s="1644"/>
      <c r="U295" s="1644"/>
      <c r="V295" s="1644"/>
      <c r="W295" s="1644"/>
      <c r="X295" s="1644"/>
      <c r="Y295" s="1644"/>
      <c r="Z295" s="1644"/>
      <c r="AA295" s="1644"/>
      <c r="AB295" s="1644"/>
      <c r="AC295" s="1644"/>
      <c r="AD295" s="1644"/>
      <c r="AE295" s="1644"/>
      <c r="AF295" s="1644"/>
      <c r="AG295" s="1644"/>
      <c r="AH295" s="1644"/>
      <c r="AI295" s="1644"/>
      <c r="AJ295" s="1644"/>
      <c r="AK295" s="1644"/>
      <c r="AL295" s="1644"/>
      <c r="AM295" s="1644"/>
      <c r="AO295" s="1640"/>
      <c r="AR295" s="1640"/>
      <c r="AS295" s="1640"/>
      <c r="AT295" s="1640"/>
      <c r="AU295" s="1640"/>
      <c r="AW295" s="1640"/>
      <c r="AX295" s="1640"/>
      <c r="AY295" s="1640"/>
      <c r="AZ295" s="1640"/>
      <c r="BA295" s="1640"/>
      <c r="BB295" s="1640"/>
      <c r="BC295" s="1640"/>
      <c r="BD295" s="1640"/>
      <c r="BE295" s="1640"/>
      <c r="BF295" s="1640"/>
      <c r="BG295" s="1640"/>
      <c r="BH295" s="1640"/>
      <c r="BI295" s="1640"/>
      <c r="BJ295" s="1640">
        <v>11</v>
      </c>
    </row>
    <row customHeight="1" ht="11.549999999999999">
      <c r="A296" s="999"/>
      <c r="B296" s="1640"/>
      <c r="D296" s="1640"/>
      <c r="J296" s="1644"/>
      <c r="K296" s="1644"/>
      <c r="L296" s="1644"/>
      <c r="M296" s="1644"/>
      <c r="N296" s="1644"/>
      <c r="O296" s="1644"/>
      <c r="P296" s="1644"/>
      <c r="Q296" s="1644"/>
      <c r="R296" s="1644"/>
      <c r="S296" s="1644"/>
      <c r="T296" s="1644"/>
      <c r="U296" s="1644"/>
      <c r="V296" s="1644"/>
      <c r="W296" s="1644"/>
      <c r="X296" s="1644"/>
      <c r="Y296" s="1644"/>
      <c r="Z296" s="1644"/>
      <c r="AA296" s="1644"/>
      <c r="AB296" s="1644"/>
      <c r="AC296" s="1644"/>
      <c r="AD296" s="1644"/>
      <c r="AE296" s="1644"/>
      <c r="AF296" s="1644"/>
      <c r="AG296" s="1644"/>
      <c r="AH296" s="1644"/>
      <c r="AI296" s="1644"/>
      <c r="AJ296" s="1644"/>
      <c r="AK296" s="1644"/>
      <c r="AL296" s="1644"/>
      <c r="AM296" s="1644"/>
      <c r="AO296" s="1640"/>
      <c r="AR296" s="1640"/>
      <c r="AS296" s="1640"/>
      <c r="AT296" s="1640"/>
      <c r="AU296" s="1640"/>
      <c r="AW296" s="1640"/>
      <c r="AX296" s="1640"/>
      <c r="AY296" s="1640"/>
      <c r="AZ296" s="1640"/>
      <c r="BA296" s="1640"/>
      <c r="BB296" s="1640"/>
      <c r="BC296" s="1640"/>
      <c r="BD296" s="1640"/>
      <c r="BE296" s="1640"/>
      <c r="BF296" s="1640"/>
      <c r="BG296" s="1640"/>
      <c r="BH296" s="1640"/>
      <c r="BI296" s="1640"/>
      <c r="BJ296" s="1640">
        <v>11</v>
      </c>
    </row>
    <row customHeight="1" ht="11.549999999999999">
      <c r="A297" s="999"/>
      <c r="B297" s="1640"/>
      <c r="D297" s="1640"/>
      <c r="J297" s="1644"/>
      <c r="K297" s="1644"/>
      <c r="L297" s="1644"/>
      <c r="M297" s="1644"/>
      <c r="N297" s="1644"/>
      <c r="O297" s="1644"/>
      <c r="P297" s="1644"/>
      <c r="Q297" s="1644"/>
      <c r="R297" s="1644"/>
      <c r="S297" s="1644"/>
      <c r="T297" s="1644"/>
      <c r="U297" s="1644"/>
      <c r="V297" s="1644"/>
      <c r="W297" s="1644"/>
      <c r="X297" s="1644"/>
      <c r="Y297" s="1644"/>
      <c r="Z297" s="1644"/>
      <c r="AA297" s="1644"/>
      <c r="AB297" s="1644"/>
      <c r="AC297" s="1644"/>
      <c r="AD297" s="1644"/>
      <c r="AE297" s="1644"/>
      <c r="AF297" s="1644"/>
      <c r="AG297" s="1644"/>
      <c r="AH297" s="1644"/>
      <c r="AI297" s="1644"/>
      <c r="AJ297" s="1644"/>
      <c r="AK297" s="1644"/>
      <c r="AL297" s="1644"/>
      <c r="AM297" s="1644"/>
      <c r="AO297" s="1640"/>
      <c r="AR297" s="1640"/>
      <c r="AS297" s="1640"/>
      <c r="AT297" s="1640"/>
      <c r="AU297" s="1640"/>
      <c r="AW297" s="1640"/>
      <c r="AX297" s="1640"/>
      <c r="AY297" s="1640"/>
      <c r="AZ297" s="1640"/>
      <c r="BA297" s="1640"/>
      <c r="BB297" s="1640"/>
      <c r="BC297" s="1640"/>
      <c r="BD297" s="1640"/>
      <c r="BE297" s="1640"/>
      <c r="BF297" s="1640"/>
      <c r="BG297" s="1640"/>
      <c r="BH297" s="1640"/>
      <c r="BI297" s="1640"/>
      <c r="BJ297" s="1640">
        <v>11</v>
      </c>
    </row>
    <row customHeight="1" ht="11.549999999999999">
      <c r="A298" s="999"/>
      <c r="B298" s="1640"/>
      <c r="D298" s="1640"/>
      <c r="J298" s="1644"/>
      <c r="K298" s="1644"/>
      <c r="L298" s="1644"/>
      <c r="M298" s="1644"/>
      <c r="N298" s="1644"/>
      <c r="O298" s="1644"/>
      <c r="P298" s="1644"/>
      <c r="Q298" s="1644"/>
      <c r="R298" s="1644"/>
      <c r="S298" s="1644"/>
      <c r="T298" s="1644"/>
      <c r="U298" s="1644"/>
      <c r="V298" s="1644"/>
      <c r="W298" s="1644"/>
      <c r="X298" s="1644"/>
      <c r="Y298" s="1644"/>
      <c r="Z298" s="1644"/>
      <c r="AA298" s="1644"/>
      <c r="AB298" s="1644"/>
      <c r="AC298" s="1644"/>
      <c r="AD298" s="1644"/>
      <c r="AE298" s="1644"/>
      <c r="AF298" s="1644"/>
      <c r="AG298" s="1644"/>
      <c r="AH298" s="1644"/>
      <c r="AI298" s="1644"/>
      <c r="AJ298" s="1644"/>
      <c r="AK298" s="1644"/>
      <c r="AL298" s="1644"/>
      <c r="AM298" s="1644"/>
      <c r="AO298" s="1640"/>
      <c r="AR298" s="1640"/>
      <c r="AS298" s="1640"/>
      <c r="AT298" s="1640"/>
      <c r="AU298" s="1640"/>
      <c r="AW298" s="1640"/>
      <c r="AX298" s="1640"/>
      <c r="AY298" s="1640"/>
      <c r="AZ298" s="1640"/>
      <c r="BA298" s="1640"/>
      <c r="BB298" s="1640"/>
      <c r="BC298" s="1640"/>
      <c r="BD298" s="1640"/>
      <c r="BE298" s="1640"/>
      <c r="BF298" s="1640"/>
      <c r="BG298" s="1640"/>
      <c r="BH298" s="1640"/>
      <c r="BI298" s="1640"/>
      <c r="BJ298" s="1640">
        <v>11</v>
      </c>
    </row>
    <row customHeight="1" ht="11.549999999999999">
      <c r="A299" s="999"/>
      <c r="B299" s="1640"/>
      <c r="D299" s="1640"/>
      <c r="J299" s="1644"/>
      <c r="K299" s="1644"/>
      <c r="L299" s="1644"/>
      <c r="M299" s="1644"/>
      <c r="N299" s="1644"/>
      <c r="O299" s="1644"/>
      <c r="P299" s="1644"/>
      <c r="Q299" s="1644"/>
      <c r="R299" s="1644"/>
      <c r="S299" s="1644"/>
      <c r="T299" s="1644"/>
      <c r="U299" s="1644"/>
      <c r="V299" s="1644"/>
      <c r="W299" s="1644"/>
      <c r="X299" s="1644"/>
      <c r="Y299" s="1644"/>
      <c r="Z299" s="1644"/>
      <c r="AA299" s="1644"/>
      <c r="AB299" s="1644"/>
      <c r="AC299" s="1644"/>
      <c r="AD299" s="1644"/>
      <c r="AE299" s="1644"/>
      <c r="AF299" s="1644"/>
      <c r="AG299" s="1644"/>
      <c r="AH299" s="1644"/>
      <c r="AI299" s="1644"/>
      <c r="AJ299" s="1644"/>
      <c r="AK299" s="1644"/>
      <c r="AL299" s="1644"/>
      <c r="AM299" s="1644"/>
      <c r="AO299" s="1640"/>
      <c r="AR299" s="1640"/>
      <c r="AS299" s="1640"/>
      <c r="AT299" s="1640"/>
      <c r="AU299" s="1640"/>
      <c r="AW299" s="1640"/>
      <c r="AX299" s="1640"/>
      <c r="AY299" s="1640"/>
      <c r="AZ299" s="1640"/>
      <c r="BA299" s="1640"/>
      <c r="BB299" s="1640"/>
      <c r="BC299" s="1640"/>
      <c r="BD299" s="1640"/>
      <c r="BE299" s="1640"/>
      <c r="BF299" s="1640"/>
      <c r="BG299" s="1640"/>
      <c r="BH299" s="1640"/>
      <c r="BI299" s="1640"/>
      <c r="BJ299" s="1640">
        <v>11</v>
      </c>
    </row>
    <row customHeight="1" ht="11.549999999999999">
      <c r="A300" s="999"/>
      <c r="B300" s="1640"/>
      <c r="D300" s="1640"/>
      <c r="J300" s="1644"/>
      <c r="K300" s="1644"/>
      <c r="L300" s="1644"/>
      <c r="M300" s="1644"/>
      <c r="N300" s="1644"/>
      <c r="O300" s="1644"/>
      <c r="P300" s="1644"/>
      <c r="Q300" s="1644"/>
      <c r="R300" s="1644"/>
      <c r="S300" s="1644"/>
      <c r="T300" s="1644"/>
      <c r="U300" s="1644"/>
      <c r="V300" s="1644"/>
      <c r="W300" s="1644"/>
      <c r="X300" s="1644"/>
      <c r="Y300" s="1644"/>
      <c r="Z300" s="1644"/>
      <c r="AA300" s="1644"/>
      <c r="AB300" s="1644"/>
      <c r="AC300" s="1644"/>
      <c r="AD300" s="1644"/>
      <c r="AE300" s="1644"/>
      <c r="AF300" s="1644"/>
      <c r="AG300" s="1644"/>
      <c r="AH300" s="1644"/>
      <c r="AI300" s="1644"/>
      <c r="AJ300" s="1644"/>
      <c r="AK300" s="1644"/>
      <c r="AL300" s="1644"/>
      <c r="AM300" s="1644"/>
      <c r="AO300" s="1640"/>
      <c r="AR300" s="1640"/>
      <c r="AS300" s="1640"/>
      <c r="AT300" s="1640"/>
      <c r="AU300" s="1640"/>
      <c r="AW300" s="1640"/>
      <c r="AX300" s="1640"/>
      <c r="AY300" s="1640"/>
      <c r="AZ300" s="1640"/>
      <c r="BA300" s="1640"/>
      <c r="BB300" s="1640"/>
      <c r="BC300" s="1640"/>
      <c r="BD300" s="1640"/>
      <c r="BE300" s="1640"/>
      <c r="BF300" s="1640"/>
      <c r="BG300" s="1640"/>
      <c r="BH300" s="1640"/>
      <c r="BI300" s="1640"/>
      <c r="BJ300" s="1640">
        <v>11</v>
      </c>
    </row>
    <row customHeight="1" ht="11.549999999999999">
      <c r="A301" s="999"/>
      <c r="B301" s="1640"/>
      <c r="D301" s="1640"/>
      <c r="J301" s="1644"/>
      <c r="K301" s="1644"/>
      <c r="L301" s="1644"/>
      <c r="M301" s="1644"/>
      <c r="N301" s="1644"/>
      <c r="O301" s="1644"/>
      <c r="P301" s="1644"/>
      <c r="Q301" s="1644"/>
      <c r="R301" s="1644"/>
      <c r="S301" s="1644"/>
      <c r="T301" s="1644"/>
      <c r="U301" s="1644"/>
      <c r="V301" s="1644"/>
      <c r="W301" s="1644"/>
      <c r="X301" s="1644"/>
      <c r="Y301" s="1644"/>
      <c r="Z301" s="1644"/>
      <c r="AA301" s="1644"/>
      <c r="AB301" s="1644"/>
      <c r="AC301" s="1644"/>
      <c r="AD301" s="1644"/>
      <c r="AE301" s="1644"/>
      <c r="AF301" s="1644"/>
      <c r="AG301" s="1644"/>
      <c r="AH301" s="1644"/>
      <c r="AI301" s="1644"/>
      <c r="AJ301" s="1644"/>
      <c r="AK301" s="1644"/>
      <c r="AL301" s="1644"/>
      <c r="AM301" s="1644"/>
      <c r="AO301" s="1640"/>
      <c r="AR301" s="1640"/>
      <c r="AS301" s="1640"/>
      <c r="AT301" s="1640"/>
      <c r="AU301" s="1640"/>
      <c r="AW301" s="1640"/>
      <c r="AX301" s="1640"/>
      <c r="AY301" s="1640"/>
      <c r="AZ301" s="1640"/>
      <c r="BA301" s="1640"/>
      <c r="BB301" s="1640"/>
      <c r="BC301" s="1640"/>
      <c r="BD301" s="1640"/>
      <c r="BE301" s="1640"/>
      <c r="BF301" s="1640"/>
      <c r="BG301" s="1640"/>
      <c r="BH301" s="1640"/>
      <c r="BI301" s="1640"/>
      <c r="BJ301" s="1640">
        <v>11</v>
      </c>
    </row>
    <row customHeight="1" ht="11.549999999999999">
      <c r="A302" s="999"/>
      <c r="B302" s="1640"/>
      <c r="D302" s="1640"/>
      <c r="J302" s="1644"/>
      <c r="K302" s="1644"/>
      <c r="L302" s="1644"/>
      <c r="M302" s="1644"/>
      <c r="N302" s="1644"/>
      <c r="O302" s="1644"/>
      <c r="P302" s="1644"/>
      <c r="Q302" s="1644"/>
      <c r="R302" s="1644"/>
      <c r="S302" s="1644"/>
      <c r="T302" s="1644"/>
      <c r="U302" s="1644"/>
      <c r="V302" s="1644"/>
      <c r="W302" s="1644"/>
      <c r="X302" s="1644"/>
      <c r="Y302" s="1644"/>
      <c r="Z302" s="1644"/>
      <c r="AA302" s="1644"/>
      <c r="AB302" s="1644"/>
      <c r="AC302" s="1644"/>
      <c r="AD302" s="1644"/>
      <c r="AE302" s="1644"/>
      <c r="AF302" s="1644"/>
      <c r="AG302" s="1644"/>
      <c r="AH302" s="1644"/>
      <c r="AI302" s="1644"/>
      <c r="AJ302" s="1644"/>
      <c r="AK302" s="1644"/>
      <c r="AL302" s="1644"/>
      <c r="AM302" s="1644"/>
      <c r="AO302" s="1640"/>
      <c r="AR302" s="1640"/>
      <c r="AS302" s="1640"/>
      <c r="AT302" s="1640"/>
      <c r="AU302" s="1640"/>
      <c r="AW302" s="1640"/>
      <c r="AX302" s="1640"/>
      <c r="AY302" s="1640"/>
      <c r="AZ302" s="1640"/>
      <c r="BA302" s="1640"/>
      <c r="BB302" s="1640"/>
      <c r="BC302" s="1640"/>
      <c r="BD302" s="1640"/>
      <c r="BE302" s="1640"/>
      <c r="BF302" s="1640"/>
      <c r="BG302" s="1640"/>
      <c r="BH302" s="1640"/>
      <c r="BI302" s="1640"/>
      <c r="BJ302" s="1640">
        <v>11</v>
      </c>
    </row>
    <row customHeight="1" ht="11.25" hidden="1">
      <c r="A303" s="996" t="s">
        <v>82</v>
      </c>
      <c r="B303" s="1169">
        <v>0</v>
      </c>
      <c r="C303" s="1645">
        <v>0</v>
      </c>
      <c r="D303" s="1644">
        <v>3</v>
      </c>
      <c r="E303" s="1640">
        <v>7</v>
      </c>
      <c r="F303" s="1640">
        <v>54</v>
      </c>
      <c r="G303" s="1640">
        <v>10</v>
      </c>
      <c r="H303" s="1640">
        <v>0</v>
      </c>
      <c r="I303" s="1640">
        <v>40</v>
      </c>
      <c r="J303" s="1644">
        <v>0</v>
      </c>
      <c r="K303" s="1644">
        <v>0</v>
      </c>
      <c r="L303" s="1644">
        <v>0</v>
      </c>
      <c r="M303" s="1644">
        <v>0</v>
      </c>
      <c r="N303" s="1644">
        <v>0</v>
      </c>
      <c r="O303" s="1644">
        <v>0</v>
      </c>
      <c r="P303" s="1644">
        <v>0</v>
      </c>
      <c r="Q303" s="1644">
        <v>0</v>
      </c>
      <c r="R303" s="1644">
        <v>0</v>
      </c>
      <c r="S303" s="1644">
        <v>0</v>
      </c>
      <c r="T303" s="1644">
        <v>0</v>
      </c>
      <c r="U303" s="1644">
        <v>0</v>
      </c>
      <c r="V303" s="1644">
        <v>0</v>
      </c>
      <c r="W303" s="1644">
        <v>0</v>
      </c>
      <c r="X303" s="1644">
        <v>0</v>
      </c>
      <c r="Y303" s="1644">
        <v>0</v>
      </c>
      <c r="Z303" s="1644">
        <v>0</v>
      </c>
      <c r="AA303" s="1644">
        <v>0</v>
      </c>
      <c r="AB303" s="1644">
        <v>0</v>
      </c>
      <c r="AC303" s="1644">
        <v>0</v>
      </c>
      <c r="AD303" s="1644">
        <v>0</v>
      </c>
      <c r="AE303" s="1644">
        <v>0</v>
      </c>
      <c r="AF303" s="1644">
        <v>0</v>
      </c>
      <c r="AG303" s="1644">
        <v>0</v>
      </c>
      <c r="AH303" s="1644">
        <v>0</v>
      </c>
      <c r="AI303" s="1644">
        <v>0</v>
      </c>
      <c r="AJ303" s="1644">
        <v>0</v>
      </c>
      <c r="AK303" s="1644">
        <v>0</v>
      </c>
      <c r="AL303" s="1644">
        <v>0</v>
      </c>
      <c r="AM303" s="1644">
        <v>0</v>
      </c>
      <c r="AN303" s="1640">
        <v>102</v>
      </c>
      <c r="AO303" s="1169">
        <v>9</v>
      </c>
      <c r="AP303" s="1645">
        <v>5</v>
      </c>
      <c r="AQ303" s="1645">
        <v>3</v>
      </c>
      <c r="AR303" s="1169">
        <v>3</v>
      </c>
      <c r="AS303" s="1169">
        <v>3</v>
      </c>
      <c r="AT303" s="1169">
        <v>3</v>
      </c>
      <c r="AU303" s="1169">
        <v>3</v>
      </c>
      <c r="AV303" s="1645">
        <v>10</v>
      </c>
      <c r="AW303" s="1169">
        <v>34</v>
      </c>
      <c r="AX303" s="1169">
        <v>9</v>
      </c>
      <c r="AY303" s="553">
        <v>8</v>
      </c>
      <c r="AZ303" s="1169">
        <v>8</v>
      </c>
      <c r="BA303" s="1169">
        <v>8</v>
      </c>
      <c r="BB303" s="1169">
        <v>8</v>
      </c>
      <c r="BC303" s="1169">
        <v>8</v>
      </c>
      <c r="BD303" s="1169">
        <v>8</v>
      </c>
      <c r="BE303" s="1641">
        <v>8</v>
      </c>
      <c r="BF303" s="1641">
        <v>8</v>
      </c>
      <c r="BG303" s="1641">
        <v>8</v>
      </c>
      <c r="BH303" s="1641">
        <v>8</v>
      </c>
      <c r="BI303" s="1641">
        <v>8</v>
      </c>
      <c r="BJ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AN25:AN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AM68 H66:AM66"/>
    <dataValidation type="decimal" allowBlank="1" showErrorMessage="1" errorTitle="Ошибка" error="Введите значение от 0 до 100%" sqref="H90:AM90 H95:AM95">
      <formula1>0</formula1>
      <formula2>100</formula2>
    </dataValidation>
    <dataValidation type="decimal" allowBlank="1" showErrorMessage="1" errorTitle="Ошибка" error="Допускается ввод только действительных чисел!" sqref="H123:AM123 H120:AM120 H126:AM126 H75:AM80">
      <formula1>-9.99999999999999E+37</formula1>
      <formula2>9.99999999999999E+37</formula2>
    </dataValidation>
    <dataValidation type="decimal" allowBlank="1" showErrorMessage="1" errorTitle="Ошибка" error="Допускается ввод только действительных чисел!" sqref="H72:AM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AM130 H81:AM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AM67 H69:AM69 H91:AM94 H127:AM127 H30:AM30 H32:AM33 H35:AM38 H40:AM65 H82:AM86 H17:AM17 H9:AM13 H15:AM15 H96:AM119 H74:AM74 H88:AM89 H4:AM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AM34 H39:AM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AM70">
      <formula1>900</formula1>
    </dataValidation>
    <dataValidation type="list" allowBlank="1" showInputMessage="1" showErrorMessage="1" errorTitle="Ошибка" error="Выберите значение из списка" prompt="Выберите значение из списка" sqref="H7:AM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526AAD-689C-2298-0022-0.95766218}" mc:Ignorable="x14ac xr xr2 xr3">
  <sheetPr>
    <tabColor theme="9" tint="-0.25"/>
  </sheetPr>
  <dimension ref="A1:CF299"/>
  <sheetViews>
    <sheetView topLeftCell="A1" showGridLines="0" zoomScale="90" workbookViewId="0">
      <selection activeCell="A293" sqref="A293:CF299"/>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11. Информация о расходах на капитальный и текущий ремонт основных средств</v>
      </c>
      <c r="F5" s="2246"/>
      <c r="G5" s="2246"/>
      <c r="H5" s="2246"/>
      <c r="I5" s="2246"/>
      <c r="J5" s="2246"/>
      <c r="K5" s="2246"/>
      <c r="L5" s="622"/>
      <c r="M5" s="622"/>
      <c r="CF5" s="514">
        <v>28</v>
      </c>
    </row>
    <row s="1644" customFormat="1" customHeight="1" ht="16.8">
      <c r="A6" s="619"/>
      <c r="B6" s="768"/>
      <c r="C6" s="518"/>
      <c r="D6" s="1067"/>
      <c r="E6" s="2185" t="str">
        <f>IF(org=0,"Не определено",org)</f>
        <v>ООО "СамРЭК-Тепло Жигулевск"</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373</v>
      </c>
      <c r="F9" s="2111"/>
      <c r="G9" s="2111"/>
      <c r="H9" s="2111"/>
      <c r="I9" s="2111"/>
      <c r="J9" s="2111"/>
      <c r="K9" s="2111"/>
      <c r="L9" s="2111"/>
      <c r="M9" s="2111"/>
      <c r="N9" s="2111"/>
      <c r="O9" s="2111"/>
      <c r="P9" s="2111"/>
      <c r="Q9" s="2111"/>
      <c r="R9" s="2112"/>
      <c r="S9" s="2136" t="s">
        <v>374</v>
      </c>
      <c r="T9" s="343"/>
      <c r="CF9" s="514">
        <v>19</v>
      </c>
    </row>
    <row customHeight="1" ht="48.29999999999999">
      <c r="D10" s="560" t="s">
        <v>88</v>
      </c>
      <c r="E10" s="2136" t="s">
        <v>88</v>
      </c>
      <c r="F10" s="2136"/>
      <c r="G10" s="530" t="s">
        <v>375</v>
      </c>
      <c r="H10" s="2136" t="s">
        <v>88</v>
      </c>
      <c r="I10" s="2136"/>
      <c r="J10" s="530" t="s">
        <v>675</v>
      </c>
      <c r="K10" s="530" t="s">
        <v>676</v>
      </c>
      <c r="L10" s="2136" t="s">
        <v>88</v>
      </c>
      <c r="M10" s="2136"/>
      <c r="N10" s="530" t="s">
        <v>677</v>
      </c>
      <c r="O10" s="530" t="s">
        <v>678</v>
      </c>
      <c r="P10" s="530" t="s">
        <v>679</v>
      </c>
      <c r="Q10" s="530" t="s">
        <v>680</v>
      </c>
      <c r="R10" s="530" t="s">
        <v>681</v>
      </c>
      <c r="S10" s="2136"/>
      <c r="T10" s="343"/>
      <c r="CF10" s="514">
        <v>46</v>
      </c>
    </row>
    <row s="1651" customFormat="1" customHeight="1" ht="15" hidden="1">
      <c r="A11" s="1061"/>
      <c r="D11" s="1034" t="s">
        <v>109</v>
      </c>
      <c r="E11" s="1034"/>
      <c r="F11" s="1034" t="s">
        <v>110</v>
      </c>
      <c r="G11" s="1034" t="s">
        <v>90</v>
      </c>
      <c r="H11" s="1034"/>
      <c r="I11" s="1034" t="s">
        <v>91</v>
      </c>
      <c r="J11" s="1034" t="s">
        <v>111</v>
      </c>
      <c r="K11" s="1034" t="s">
        <v>92</v>
      </c>
      <c r="L11" s="1034"/>
      <c r="M11" s="1034" t="s">
        <v>93</v>
      </c>
      <c r="N11" s="1034" t="s">
        <v>112</v>
      </c>
      <c r="O11" s="1034" t="s">
        <v>136</v>
      </c>
      <c r="P11" s="1034" t="s">
        <v>139</v>
      </c>
      <c r="Q11" s="1034" t="s">
        <v>142</v>
      </c>
      <c r="R11" s="1034" t="s">
        <v>145</v>
      </c>
      <c r="S11" s="1034" t="s">
        <v>148</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449</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118</v>
      </c>
      <c r="B14" s="633"/>
      <c r="C14" s="633"/>
      <c r="D14" s="2389" t="s">
        <v>109</v>
      </c>
      <c r="E14" s="2386" t="s">
        <v>105</v>
      </c>
      <c r="F14" s="2387"/>
      <c r="G14" s="2388"/>
      <c r="H14" s="2392" t="str">
        <f>IF(A14="","",INDEX(DIFFERENTIATION_UNMERGE_VD,MATCH(A14,DIFFERENTIATION_ID_DIFF,0)))</f>
        <v>Производство тепловой энергии. Некомбинированная выработка</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682</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637</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638</v>
      </c>
      <c r="F16" s="2387"/>
      <c r="G16" s="2388"/>
      <c r="H16" s="2392" t="str">
        <f>IF(A14="","",INDEX(DIFFERENTIATION_UNMERGE_SYSTEM,MATCH(A14,DIFFERENTIATION_ID_DIFF,0)))</f>
        <v>Котельная №1 по ул.Ново-Самарская, д.12</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683</v>
      </c>
      <c r="F17" s="2385"/>
      <c r="G17" s="2385"/>
      <c r="H17" s="2385"/>
      <c r="I17" s="2385"/>
      <c r="J17" s="2385"/>
      <c r="K17" s="2385"/>
      <c r="L17" s="2385"/>
      <c r="M17" s="2385"/>
      <c r="N17" s="2385"/>
      <c r="O17" s="2385"/>
      <c r="P17" s="2385"/>
      <c r="Q17" s="567">
        <f>SUMIF(T18:T19,"i",Q18:Q19)</f>
        <v>0</v>
      </c>
      <c r="R17" s="1026"/>
      <c r="S17" s="906" t="s">
        <v>684</v>
      </c>
      <c r="T17" s="726" t="s">
        <v>685</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686</v>
      </c>
      <c r="F20" s="2385"/>
      <c r="G20" s="2385"/>
      <c r="H20" s="2385"/>
      <c r="I20" s="2385"/>
      <c r="J20" s="2385"/>
      <c r="K20" s="2385"/>
      <c r="L20" s="2385"/>
      <c r="M20" s="2385"/>
      <c r="N20" s="2385"/>
      <c r="O20" s="2385"/>
      <c r="P20" s="2385"/>
      <c r="Q20" s="567">
        <f>SUMIF(T21:T22,"i",Q21:Q22)</f>
        <v>0</v>
      </c>
      <c r="R20" s="1026"/>
      <c r="S20" s="718" t="s">
        <v>687</v>
      </c>
      <c r="T20" s="726" t="s">
        <v>685</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5" hidden="1">
      <c r="A23" s="632" t="s">
        <v>123</v>
      </c>
      <c r="B23" s="633"/>
      <c r="C23" s="633" t="s">
        <v>22</v>
      </c>
      <c r="D23" s="2587" t="s">
        <v>142</v>
      </c>
      <c r="E23" s="2386" t="s">
        <v>105</v>
      </c>
      <c r="F23" s="2387"/>
      <c r="G23" s="2388"/>
      <c r="H23" s="2392" t="str">
        <f>IF(A23="","",INDEX(DIFFERENTIATION_UNMERGE_VD,MATCH(A23,DIFFERENTIATION_ID_DIFF,0)))</f>
        <v>Производство тепловой энергии. Некомбинированная выработка</v>
      </c>
      <c r="I23" s="2392"/>
      <c r="J23" s="2392"/>
      <c r="K23" s="2392"/>
      <c r="L23" s="2392"/>
      <c r="M23" s="2392"/>
      <c r="N23" s="2392"/>
      <c r="O23" s="2392"/>
      <c r="P23" s="2392"/>
      <c r="Q23" s="2392"/>
      <c r="R23" s="2392"/>
      <c r="S23" s="728"/>
      <c r="T23" s="725"/>
      <c r="U23" s="634"/>
      <c r="V23" s="634"/>
      <c r="W23" s="635"/>
      <c r="X23" s="635"/>
      <c r="Y23" s="635"/>
      <c r="Z23" s="635"/>
      <c r="AA23" s="636"/>
      <c r="AB23" s="637"/>
      <c r="AC23" s="2384"/>
      <c r="AD23" s="638"/>
      <c r="AE23" s="639" t="s">
        <v>22</v>
      </c>
      <c r="AF23" s="639"/>
      <c r="AG23" s="640" t="s">
        <v>682</v>
      </c>
      <c r="AH23" s="641">
        <v>3</v>
      </c>
      <c r="AI23" s="634"/>
      <c r="AJ23" s="634"/>
      <c r="AK23" s="634"/>
      <c r="AL23" s="634"/>
      <c r="AM23" s="634"/>
      <c r="AN23" s="634"/>
      <c r="AO23" s="634"/>
      <c r="AP23" s="634"/>
      <c r="AQ23" s="634"/>
      <c r="AR23" s="634"/>
      <c r="AS23" s="634"/>
      <c r="AT23" s="634"/>
      <c r="AU23" s="634"/>
      <c r="AV23" s="634"/>
      <c r="AW23" s="634"/>
      <c r="AX23" s="634"/>
      <c r="AY23" s="634"/>
      <c r="AZ23" s="634"/>
      <c r="BA23" s="634"/>
      <c r="BB23" s="634"/>
      <c r="BC23" s="634"/>
      <c r="BD23" s="634"/>
      <c r="BE23" s="634"/>
      <c r="BF23" s="634"/>
      <c r="BG23" s="634"/>
      <c r="BH23" s="634"/>
      <c r="BI23" s="634"/>
      <c r="BJ23" s="634"/>
      <c r="BK23" s="634"/>
      <c r="BL23" s="634"/>
      <c r="BM23" s="634"/>
      <c r="BN23" s="634"/>
      <c r="BO23" s="634"/>
      <c r="BP23" s="634"/>
      <c r="BQ23" s="634"/>
      <c r="BR23" s="634"/>
      <c r="BS23" s="634"/>
      <c r="BT23" s="634"/>
      <c r="BU23" s="634"/>
      <c r="BV23" s="635"/>
      <c r="BW23" s="635"/>
      <c r="BX23" s="635"/>
      <c r="BY23" s="635"/>
      <c r="BZ23" s="635"/>
      <c r="CA23" s="635"/>
      <c r="CB23" s="635"/>
      <c r="CC23" s="635"/>
      <c r="CD23" s="635"/>
      <c r="CE23" s="635"/>
      <c r="CF23" s="1859"/>
    </row>
    <row customHeight="1" ht="15" hidden="1">
      <c r="A24" s="632"/>
      <c r="B24" s="633"/>
      <c r="C24" s="633"/>
      <c r="D24" s="2588"/>
      <c r="E24" s="2386" t="s">
        <v>637</v>
      </c>
      <c r="F24" s="2387"/>
      <c r="G24" s="2388"/>
      <c r="H24" s="2392" t="str">
        <f>IF(A23="","",INDEX(DIFFERENTIATION_UNMERGE_AREA,MATCH(A23,DIFFERENTIATION_ID_DIFF,0)))</f>
        <v>Территория 1</v>
      </c>
      <c r="I24" s="2392"/>
      <c r="J24" s="2392"/>
      <c r="K24" s="2392"/>
      <c r="L24" s="2392"/>
      <c r="M24" s="2392"/>
      <c r="N24" s="2392"/>
      <c r="O24" s="2392"/>
      <c r="P24" s="2392"/>
      <c r="Q24" s="2392"/>
      <c r="R24" s="2392"/>
      <c r="S24" s="728"/>
      <c r="T24" s="725"/>
      <c r="U24" s="634"/>
      <c r="V24" s="634"/>
      <c r="W24" s="635"/>
      <c r="X24" s="635"/>
      <c r="Y24" s="635"/>
      <c r="Z24" s="635"/>
      <c r="AA24" s="636"/>
      <c r="AB24" s="637"/>
      <c r="AC24" s="2384"/>
      <c r="AD24" s="638"/>
      <c r="AE24" s="639"/>
      <c r="AF24" s="639"/>
      <c r="AG24" s="640"/>
      <c r="AH24" s="641"/>
      <c r="AI24" s="634"/>
      <c r="AJ24" s="634"/>
      <c r="AK24" s="634"/>
      <c r="AL24" s="634"/>
      <c r="AM24" s="634"/>
      <c r="AN24" s="634"/>
      <c r="AO24" s="634"/>
      <c r="AP24" s="634"/>
      <c r="AQ24" s="634"/>
      <c r="AR24" s="634"/>
      <c r="AS24" s="634"/>
      <c r="AT24" s="634"/>
      <c r="AU24" s="634"/>
      <c r="AV24" s="634"/>
      <c r="AW24" s="634"/>
      <c r="AX24" s="634"/>
      <c r="AY24" s="634"/>
      <c r="AZ24" s="634"/>
      <c r="BA24" s="634"/>
      <c r="BB24" s="634"/>
      <c r="BC24" s="634"/>
      <c r="BD24" s="634"/>
      <c r="BE24" s="634"/>
      <c r="BF24" s="634"/>
      <c r="BG24" s="634"/>
      <c r="BH24" s="634"/>
      <c r="BI24" s="634"/>
      <c r="BJ24" s="634"/>
      <c r="BK24" s="634"/>
      <c r="BL24" s="634"/>
      <c r="BM24" s="634"/>
      <c r="BN24" s="634"/>
      <c r="BO24" s="634"/>
      <c r="BP24" s="634"/>
      <c r="BQ24" s="634"/>
      <c r="BR24" s="634"/>
      <c r="BS24" s="634"/>
      <c r="BT24" s="634"/>
      <c r="BU24" s="634"/>
      <c r="BV24" s="635"/>
      <c r="BW24" s="635"/>
      <c r="BX24" s="635"/>
      <c r="BY24" s="635"/>
      <c r="BZ24" s="635"/>
      <c r="CA24" s="635"/>
      <c r="CB24" s="635"/>
      <c r="CC24" s="635"/>
      <c r="CD24" s="635"/>
      <c r="CE24" s="635"/>
      <c r="CF24" s="1859"/>
    </row>
    <row customHeight="1" ht="15" hidden="1">
      <c r="A25" s="632"/>
      <c r="B25" s="633"/>
      <c r="C25" s="633"/>
      <c r="D25" s="2588"/>
      <c r="E25" s="2386" t="s">
        <v>638</v>
      </c>
      <c r="F25" s="2387"/>
      <c r="G25" s="2388"/>
      <c r="H25" s="2392" t="str">
        <f>IF(A23="","",INDEX(DIFFERENTIATION_UNMERGE_SYSTEM,MATCH(A23,DIFFERENTIATION_ID_DIFF,0)))</f>
        <v>Котельная №2,  ул.Пирогова около д.4</v>
      </c>
      <c r="I25" s="2392"/>
      <c r="J25" s="2392"/>
      <c r="K25" s="2392"/>
      <c r="L25" s="2392"/>
      <c r="M25" s="2392"/>
      <c r="N25" s="2392"/>
      <c r="O25" s="2392"/>
      <c r="P25" s="2392"/>
      <c r="Q25" s="2392"/>
      <c r="R25" s="2392"/>
      <c r="S25" s="728"/>
      <c r="T25" s="725"/>
      <c r="U25" s="634"/>
      <c r="V25" s="634"/>
      <c r="W25" s="635"/>
      <c r="X25" s="635"/>
      <c r="Y25" s="635"/>
      <c r="Z25" s="635"/>
      <c r="AA25" s="636"/>
      <c r="AB25" s="637"/>
      <c r="AC25" s="2384"/>
      <c r="AD25" s="638"/>
      <c r="AE25" s="639"/>
      <c r="AF25" s="639"/>
      <c r="AG25" s="640"/>
      <c r="AH25" s="641"/>
      <c r="AI25" s="634"/>
      <c r="AJ25" s="634"/>
      <c r="AK25" s="634"/>
      <c r="AL25" s="634"/>
      <c r="AM25" s="634"/>
      <c r="AN25" s="634"/>
      <c r="AO25" s="634"/>
      <c r="AP25" s="634"/>
      <c r="AQ25" s="634"/>
      <c r="AR25" s="634"/>
      <c r="AS25" s="634"/>
      <c r="AT25" s="634"/>
      <c r="AU25" s="634"/>
      <c r="AV25" s="634"/>
      <c r="AW25" s="634"/>
      <c r="AX25" s="634"/>
      <c r="AY25" s="634"/>
      <c r="AZ25" s="634"/>
      <c r="BA25" s="634"/>
      <c r="BB25" s="634"/>
      <c r="BC25" s="634"/>
      <c r="BD25" s="634"/>
      <c r="BE25" s="634"/>
      <c r="BF25" s="634"/>
      <c r="BG25" s="634"/>
      <c r="BH25" s="634"/>
      <c r="BI25" s="634"/>
      <c r="BJ25" s="634"/>
      <c r="BK25" s="634"/>
      <c r="BL25" s="634"/>
      <c r="BM25" s="634"/>
      <c r="BN25" s="634"/>
      <c r="BO25" s="634"/>
      <c r="BP25" s="634"/>
      <c r="BQ25" s="634"/>
      <c r="BR25" s="634"/>
      <c r="BS25" s="634"/>
      <c r="BT25" s="634"/>
      <c r="BU25" s="634"/>
      <c r="BV25" s="635"/>
      <c r="BW25" s="635"/>
      <c r="BX25" s="635"/>
      <c r="BY25" s="635"/>
      <c r="BZ25" s="635"/>
      <c r="CA25" s="635"/>
      <c r="CB25" s="635"/>
      <c r="CC25" s="635"/>
      <c r="CD25" s="635"/>
      <c r="CE25" s="635"/>
      <c r="CF25" s="1859"/>
    </row>
    <row customHeight="1" ht="24.75" hidden="1">
      <c r="A26" s="1815"/>
      <c r="B26" s="1169"/>
      <c r="C26" s="421"/>
      <c r="D26" s="2588"/>
      <c r="E26" s="2385" t="s">
        <v>683</v>
      </c>
      <c r="F26" s="2385"/>
      <c r="G26" s="2385"/>
      <c r="H26" s="2385"/>
      <c r="I26" s="2385"/>
      <c r="J26" s="2385"/>
      <c r="K26" s="2385"/>
      <c r="L26" s="2385"/>
      <c r="M26" s="2385"/>
      <c r="N26" s="2385"/>
      <c r="O26" s="2385"/>
      <c r="P26" s="2385"/>
      <c r="Q26" s="567">
        <f>SUMIF(T27:T28,"i",Q27:Q28)</f>
        <v>0</v>
      </c>
      <c r="R26" s="1026"/>
      <c r="S26" s="1807" t="s">
        <v>684</v>
      </c>
      <c r="T26" s="726" t="s">
        <v>685</v>
      </c>
      <c r="U26" s="2383">
        <v>1</v>
      </c>
      <c r="V26" s="2383" t="s">
        <v>648</v>
      </c>
      <c r="W26" s="1169"/>
      <c r="X26" s="1169"/>
      <c r="Y26" s="1169"/>
      <c r="Z26" s="1169"/>
      <c r="AA26" s="1645"/>
      <c r="AB26" s="1169"/>
      <c r="AC26" s="2384"/>
      <c r="AD26" s="638"/>
      <c r="AE26" s="1169"/>
      <c r="AF26" s="1169"/>
      <c r="AG26" s="1645"/>
      <c r="AH26" s="1645"/>
      <c r="AI26" s="1645"/>
      <c r="AJ26" s="1645"/>
      <c r="AK26" s="1645"/>
      <c r="AL26" s="1645"/>
      <c r="AM26" s="1645"/>
      <c r="AN26" s="1645"/>
      <c r="AO26" s="1645"/>
      <c r="AP26" s="1645"/>
      <c r="AQ26" s="1645"/>
      <c r="AR26" s="1645"/>
      <c r="AS26" s="1645"/>
      <c r="AT26" s="1645"/>
      <c r="AU26" s="1645"/>
      <c r="AV26" s="1645"/>
      <c r="AW26" s="1645"/>
      <c r="AX26" s="1645"/>
      <c r="AY26" s="1645"/>
      <c r="AZ26" s="1645"/>
      <c r="BA26" s="1645"/>
      <c r="BB26" s="1645"/>
      <c r="BC26" s="1645"/>
      <c r="BD26" s="1645"/>
      <c r="BE26" s="1645"/>
      <c r="BF26" s="1645"/>
      <c r="BG26" s="1645"/>
      <c r="BH26" s="1645"/>
      <c r="BI26" s="1645"/>
      <c r="BJ26" s="1645"/>
      <c r="BK26" s="1645"/>
      <c r="BL26" s="1645"/>
      <c r="BM26" s="1645"/>
      <c r="BN26" s="1645"/>
      <c r="BO26" s="1645"/>
      <c r="BP26" s="1645"/>
      <c r="BQ26" s="1645"/>
      <c r="BR26" s="1645"/>
      <c r="BS26" s="1645"/>
      <c r="BT26" s="1645"/>
      <c r="BU26" s="1645"/>
      <c r="BV26" s="1169"/>
      <c r="BW26" s="1169"/>
      <c r="BX26" s="1169"/>
      <c r="BY26" s="1169"/>
      <c r="BZ26" s="1169"/>
      <c r="CA26" s="1169"/>
      <c r="CB26" s="1169"/>
      <c r="CC26" s="1169"/>
      <c r="CD26" s="1169"/>
      <c r="CE26" s="1169"/>
      <c r="CF26" s="1859"/>
    </row>
    <row customHeight="1" ht="11.25" hidden="1">
      <c r="A27" s="1802"/>
      <c r="B27" s="1645"/>
      <c r="C27" s="1645"/>
      <c r="D27" s="2588"/>
      <c r="E27" s="644"/>
      <c r="F27" s="644">
        <v>0</v>
      </c>
      <c r="G27" s="644"/>
      <c r="H27" s="644"/>
      <c r="I27" s="644"/>
      <c r="J27" s="644"/>
      <c r="K27" s="644"/>
      <c r="L27" s="644"/>
      <c r="M27" s="644"/>
      <c r="N27" s="644"/>
      <c r="O27" s="644"/>
      <c r="P27" s="644"/>
      <c r="Q27" s="644"/>
      <c r="R27" s="644"/>
      <c r="S27" s="645"/>
      <c r="T27" s="727"/>
      <c r="U27" s="2383"/>
      <c r="V27" s="2383"/>
      <c r="W27" s="1645"/>
      <c r="X27" s="1645"/>
      <c r="Y27" s="1645"/>
      <c r="Z27" s="1645"/>
      <c r="AA27" s="1645"/>
      <c r="AB27" s="1169"/>
      <c r="AC27" s="2384"/>
      <c r="AD27" s="638"/>
      <c r="AE27" s="1169"/>
      <c r="AF27" s="1169"/>
      <c r="AG27" s="1645"/>
      <c r="AH27" s="1645"/>
      <c r="AI27" s="1645"/>
      <c r="AJ27" s="1645"/>
      <c r="AK27" s="1645"/>
      <c r="AL27" s="1645"/>
      <c r="AM27" s="1645"/>
      <c r="AN27" s="1645"/>
      <c r="AO27" s="1645"/>
      <c r="AP27" s="1645"/>
      <c r="AQ27" s="1645"/>
      <c r="AR27" s="1645"/>
      <c r="AS27" s="1645"/>
      <c r="AT27" s="1645"/>
      <c r="AU27" s="1645"/>
      <c r="AV27" s="1645"/>
      <c r="AW27" s="1645"/>
      <c r="AX27" s="1645"/>
      <c r="AY27" s="1645"/>
      <c r="AZ27" s="1645"/>
      <c r="BA27" s="1645"/>
      <c r="BB27" s="1645"/>
      <c r="BC27" s="1645"/>
      <c r="BD27" s="1645"/>
      <c r="BE27" s="1645"/>
      <c r="BF27" s="1645"/>
      <c r="BG27" s="1645"/>
      <c r="BH27" s="1645"/>
      <c r="BI27" s="1645"/>
      <c r="BJ27" s="1645"/>
      <c r="BK27" s="1645"/>
      <c r="BL27" s="1645"/>
      <c r="BM27" s="1645"/>
      <c r="BN27" s="1645"/>
      <c r="BO27" s="1645"/>
      <c r="BP27" s="1645"/>
      <c r="BQ27" s="1645"/>
      <c r="BR27" s="1645"/>
      <c r="BS27" s="1645"/>
      <c r="BT27" s="1645"/>
      <c r="BU27" s="1645"/>
      <c r="BV27" s="1645"/>
      <c r="BW27" s="1645"/>
      <c r="BX27" s="1645"/>
      <c r="BY27" s="1645"/>
      <c r="BZ27" s="1645"/>
      <c r="CA27" s="1645"/>
      <c r="CB27" s="1645"/>
      <c r="CC27" s="1645"/>
      <c r="CD27" s="1645"/>
      <c r="CE27" s="1645"/>
      <c r="CF27" s="1859"/>
    </row>
    <row customHeight="1" ht="11.25" hidden="1">
      <c r="A28" s="1815"/>
      <c r="B28" s="1169"/>
      <c r="C28" s="421"/>
      <c r="D28" s="2588"/>
      <c r="E28" s="658" t="s">
        <v>22</v>
      </c>
      <c r="F28" s="1177" t="s">
        <v>22</v>
      </c>
      <c r="G28" s="1177" t="s">
        <v>688</v>
      </c>
      <c r="H28" s="660" t="s">
        <v>22</v>
      </c>
      <c r="I28" s="660"/>
      <c r="J28" s="660"/>
      <c r="K28" s="660"/>
      <c r="L28" s="660"/>
      <c r="M28" s="660"/>
      <c r="N28" s="660"/>
      <c r="O28" s="660"/>
      <c r="P28" s="660"/>
      <c r="Q28" s="660"/>
      <c r="R28" s="661"/>
      <c r="S28" s="662"/>
      <c r="T28" s="727"/>
      <c r="U28" s="2383"/>
      <c r="V28" s="2383"/>
      <c r="W28" s="1169"/>
      <c r="X28" s="1169"/>
      <c r="Y28" s="1169"/>
      <c r="Z28" s="1169"/>
      <c r="AA28" s="1645"/>
      <c r="AB28" s="1169"/>
      <c r="AC28" s="2384"/>
      <c r="AD28" s="638"/>
      <c r="AE28" s="1169"/>
      <c r="AF28" s="1169"/>
      <c r="AG28" s="1645"/>
      <c r="AH28" s="1645"/>
      <c r="AI28" s="1645"/>
      <c r="AJ28" s="1645"/>
      <c r="AK28" s="1645"/>
      <c r="AL28" s="1645"/>
      <c r="AM28" s="1645"/>
      <c r="AN28" s="1645"/>
      <c r="AO28" s="1645"/>
      <c r="AP28" s="1645"/>
      <c r="AQ28" s="1645"/>
      <c r="AR28" s="1645"/>
      <c r="AS28" s="1645"/>
      <c r="AT28" s="1645"/>
      <c r="AU28" s="1645"/>
      <c r="AV28" s="1645"/>
      <c r="AW28" s="1645"/>
      <c r="AX28" s="1645"/>
      <c r="AY28" s="1645"/>
      <c r="AZ28" s="1645"/>
      <c r="BA28" s="1645"/>
      <c r="BB28" s="1645"/>
      <c r="BC28" s="1645"/>
      <c r="BD28" s="1645"/>
      <c r="BE28" s="1645"/>
      <c r="BF28" s="1645"/>
      <c r="BG28" s="1645"/>
      <c r="BH28" s="1645"/>
      <c r="BI28" s="1645"/>
      <c r="BJ28" s="1645"/>
      <c r="BK28" s="1645"/>
      <c r="BL28" s="1645"/>
      <c r="BM28" s="1645"/>
      <c r="BN28" s="1645"/>
      <c r="BO28" s="1645"/>
      <c r="BP28" s="1645"/>
      <c r="BQ28" s="1645"/>
      <c r="BR28" s="1645"/>
      <c r="BS28" s="1645"/>
      <c r="BT28" s="1645"/>
      <c r="BU28" s="1645"/>
      <c r="BV28" s="1169"/>
      <c r="BW28" s="1169"/>
      <c r="BX28" s="1169"/>
      <c r="BY28" s="1169"/>
      <c r="BZ28" s="1169"/>
      <c r="CA28" s="1169"/>
      <c r="CB28" s="1169"/>
      <c r="CC28" s="1169"/>
      <c r="CD28" s="1169"/>
      <c r="CE28" s="1169"/>
      <c r="CF28" s="1859"/>
    </row>
    <row customHeight="1" ht="5.25" hidden="1">
      <c r="A29" s="1802"/>
      <c r="B29" s="1645"/>
      <c r="C29" s="1645"/>
      <c r="D29" s="2588"/>
      <c r="E29" s="1048"/>
      <c r="F29" s="1048"/>
      <c r="G29" s="1048"/>
      <c r="H29" s="1048"/>
      <c r="I29" s="1048"/>
      <c r="J29" s="1048"/>
      <c r="K29" s="1048"/>
      <c r="L29" s="1048"/>
      <c r="M29" s="1048"/>
      <c r="N29" s="1048"/>
      <c r="O29" s="1048"/>
      <c r="P29" s="1048"/>
      <c r="Q29" s="1049"/>
      <c r="R29" s="1050"/>
      <c r="S29" s="1051"/>
      <c r="T29" s="726" t="s">
        <v>685</v>
      </c>
      <c r="U29" s="2383">
        <v>1</v>
      </c>
      <c r="V29" s="2383" t="s">
        <v>648</v>
      </c>
      <c r="W29" s="1645"/>
      <c r="X29" s="1645"/>
      <c r="Y29" s="1645"/>
      <c r="Z29" s="1645"/>
      <c r="AA29" s="1645"/>
      <c r="AB29" s="1645"/>
      <c r="AC29" s="1046"/>
      <c r="AD29" s="1047"/>
      <c r="AE29" s="1645"/>
      <c r="AF29" s="1645"/>
      <c r="AG29" s="1645"/>
      <c r="AH29" s="1645"/>
      <c r="AI29" s="1645"/>
      <c r="AJ29" s="1645"/>
      <c r="AK29" s="1645"/>
      <c r="AL29" s="1645"/>
      <c r="AM29" s="1645"/>
      <c r="AN29" s="1645"/>
      <c r="AO29" s="1645"/>
      <c r="AP29" s="1645"/>
      <c r="AQ29" s="1645"/>
      <c r="AR29" s="1645"/>
      <c r="AS29" s="1645"/>
      <c r="AT29" s="1645"/>
      <c r="AU29" s="1645"/>
      <c r="AV29" s="1645"/>
      <c r="AW29" s="1645"/>
      <c r="AX29" s="1645"/>
      <c r="AY29" s="1645"/>
      <c r="AZ29" s="1645"/>
      <c r="BA29" s="1645"/>
      <c r="BB29" s="1645"/>
      <c r="BC29" s="1645"/>
      <c r="BD29" s="1645"/>
      <c r="BE29" s="1645"/>
      <c r="BF29" s="1645"/>
      <c r="BG29" s="1645"/>
      <c r="BH29" s="1645"/>
      <c r="BI29" s="1645"/>
      <c r="BJ29" s="1645"/>
      <c r="BK29" s="1645"/>
      <c r="BL29" s="1645"/>
      <c r="BM29" s="1645"/>
      <c r="BN29" s="1645"/>
      <c r="BO29" s="1645"/>
      <c r="BP29" s="1645"/>
      <c r="BQ29" s="1645"/>
      <c r="BR29" s="1645"/>
      <c r="BS29" s="1645"/>
      <c r="BT29" s="1645"/>
      <c r="BU29" s="1645"/>
      <c r="BV29" s="1645"/>
      <c r="BW29" s="1645"/>
      <c r="BX29" s="1645"/>
      <c r="BY29" s="1645"/>
      <c r="BZ29" s="1645"/>
      <c r="CA29" s="1645"/>
      <c r="CB29" s="1645"/>
      <c r="CC29" s="1645"/>
      <c r="CD29" s="1645"/>
      <c r="CE29" s="1645"/>
      <c r="CF29" s="1325"/>
    </row>
    <row customHeight="1" ht="5.25" hidden="1">
      <c r="A30" s="1802"/>
      <c r="B30" s="1645"/>
      <c r="C30" s="1645"/>
      <c r="D30" s="2588"/>
      <c r="E30" s="644"/>
      <c r="F30" s="644"/>
      <c r="G30" s="644"/>
      <c r="H30" s="644"/>
      <c r="I30" s="644"/>
      <c r="J30" s="644"/>
      <c r="K30" s="644"/>
      <c r="L30" s="644"/>
      <c r="M30" s="644"/>
      <c r="N30" s="644"/>
      <c r="O30" s="644"/>
      <c r="P30" s="644"/>
      <c r="Q30" s="644"/>
      <c r="R30" s="644"/>
      <c r="S30" s="645"/>
      <c r="T30" s="727"/>
      <c r="U30" s="2383"/>
      <c r="V30" s="2383"/>
      <c r="W30" s="1645"/>
      <c r="X30" s="1645"/>
      <c r="Y30" s="1645"/>
      <c r="Z30" s="1645"/>
      <c r="AA30" s="1645"/>
      <c r="AB30" s="1645"/>
      <c r="AC30" s="1046"/>
      <c r="AD30" s="1047"/>
      <c r="AE30" s="1645"/>
      <c r="AF30" s="1645"/>
      <c r="AG30" s="1645"/>
      <c r="AH30" s="1645"/>
      <c r="AI30" s="1645"/>
      <c r="AJ30" s="1645"/>
      <c r="AK30" s="1645"/>
      <c r="AL30" s="1645"/>
      <c r="AM30" s="1645"/>
      <c r="AN30" s="1645"/>
      <c r="AO30" s="1645"/>
      <c r="AP30" s="1645"/>
      <c r="AQ30" s="1645"/>
      <c r="AR30" s="1645"/>
      <c r="AS30" s="1645"/>
      <c r="AT30" s="1645"/>
      <c r="AU30" s="1645"/>
      <c r="AV30" s="1645"/>
      <c r="AW30" s="1645"/>
      <c r="AX30" s="1645"/>
      <c r="AY30" s="1645"/>
      <c r="AZ30" s="1645"/>
      <c r="BA30" s="1645"/>
      <c r="BB30" s="1645"/>
      <c r="BC30" s="1645"/>
      <c r="BD30" s="1645"/>
      <c r="BE30" s="1645"/>
      <c r="BF30" s="1645"/>
      <c r="BG30" s="1645"/>
      <c r="BH30" s="1645"/>
      <c r="BI30" s="1645"/>
      <c r="BJ30" s="1645"/>
      <c r="BK30" s="1645"/>
      <c r="BL30" s="1645"/>
      <c r="BM30" s="1645"/>
      <c r="BN30" s="1645"/>
      <c r="BO30" s="1645"/>
      <c r="BP30" s="1645"/>
      <c r="BQ30" s="1645"/>
      <c r="BR30" s="1645"/>
      <c r="BS30" s="1645"/>
      <c r="BT30" s="1645"/>
      <c r="BU30" s="1645"/>
      <c r="BV30" s="1645"/>
      <c r="BW30" s="1645"/>
      <c r="BX30" s="1645"/>
      <c r="BY30" s="1645"/>
      <c r="BZ30" s="1645"/>
      <c r="CA30" s="1645"/>
      <c r="CB30" s="1645"/>
      <c r="CC30" s="1645"/>
      <c r="CD30" s="1645"/>
      <c r="CE30" s="1645"/>
      <c r="CF30" s="1325"/>
    </row>
    <row customHeight="1" ht="5.25" hidden="1">
      <c r="A31" s="1802"/>
      <c r="B31" s="1645"/>
      <c r="C31" s="1645"/>
      <c r="D31" s="2589"/>
      <c r="E31" s="1052"/>
      <c r="F31" s="1053"/>
      <c r="G31" s="1053"/>
      <c r="H31" s="1054"/>
      <c r="I31" s="1054"/>
      <c r="J31" s="1054"/>
      <c r="K31" s="1054"/>
      <c r="L31" s="1054"/>
      <c r="M31" s="1054"/>
      <c r="N31" s="1054"/>
      <c r="O31" s="1054"/>
      <c r="P31" s="1054"/>
      <c r="Q31" s="1054"/>
      <c r="R31" s="955"/>
      <c r="S31" s="1055"/>
      <c r="T31" s="727"/>
      <c r="U31" s="2383"/>
      <c r="V31" s="2383"/>
      <c r="W31" s="1645"/>
      <c r="X31" s="1645"/>
      <c r="Y31" s="1645"/>
      <c r="Z31" s="1645"/>
      <c r="AA31" s="1645"/>
      <c r="AB31" s="1645"/>
      <c r="AC31" s="1046"/>
      <c r="AD31" s="1047"/>
      <c r="AE31" s="1645"/>
      <c r="AF31" s="1645"/>
      <c r="AG31" s="1645"/>
      <c r="AH31" s="1645"/>
      <c r="AI31" s="1645"/>
      <c r="AJ31" s="1645"/>
      <c r="AK31" s="1645"/>
      <c r="AL31" s="1645"/>
      <c r="AM31" s="1645"/>
      <c r="AN31" s="1645"/>
      <c r="AO31" s="1645"/>
      <c r="AP31" s="1645"/>
      <c r="AQ31" s="1645"/>
      <c r="AR31" s="1645"/>
      <c r="AS31" s="1645"/>
      <c r="AT31" s="1645"/>
      <c r="AU31" s="1645"/>
      <c r="AV31" s="1645"/>
      <c r="AW31" s="1645"/>
      <c r="AX31" s="1645"/>
      <c r="AY31" s="1645"/>
      <c r="AZ31" s="1645"/>
      <c r="BA31" s="1645"/>
      <c r="BB31" s="1645"/>
      <c r="BC31" s="1645"/>
      <c r="BD31" s="1645"/>
      <c r="BE31" s="1645"/>
      <c r="BF31" s="1645"/>
      <c r="BG31" s="1645"/>
      <c r="BH31" s="1645"/>
      <c r="BI31" s="1645"/>
      <c r="BJ31" s="1645"/>
      <c r="BK31" s="1645"/>
      <c r="BL31" s="1645"/>
      <c r="BM31" s="1645"/>
      <c r="BN31" s="1645"/>
      <c r="BO31" s="1645"/>
      <c r="BP31" s="1645"/>
      <c r="BQ31" s="1645"/>
      <c r="BR31" s="1645"/>
      <c r="BS31" s="1645"/>
      <c r="BT31" s="1645"/>
      <c r="BU31" s="1645"/>
      <c r="BV31" s="1645"/>
      <c r="BW31" s="1645"/>
      <c r="BX31" s="1645"/>
      <c r="BY31" s="1645"/>
      <c r="BZ31" s="1645"/>
      <c r="CA31" s="1645"/>
      <c r="CB31" s="1645"/>
      <c r="CC31" s="1645"/>
      <c r="CD31" s="1645"/>
      <c r="CE31" s="1645"/>
      <c r="CF31" s="1325"/>
    </row>
    <row customHeight="1" ht="15" hidden="1">
      <c r="A32" s="632" t="s">
        <v>125</v>
      </c>
      <c r="B32" s="633"/>
      <c r="C32" s="633" t="s">
        <v>22</v>
      </c>
      <c r="D32" s="2587" t="s">
        <v>689</v>
      </c>
      <c r="E32" s="2386" t="s">
        <v>105</v>
      </c>
      <c r="F32" s="2387"/>
      <c r="G32" s="2388"/>
      <c r="H32" s="2392" t="str">
        <f>IF(A32="","",INDEX(DIFFERENTIATION_UNMERGE_VD,MATCH(A32,DIFFERENTIATION_ID_DIFF,0)))</f>
        <v>Производство тепловой энергии. Некомбинированная выработка</v>
      </c>
      <c r="I32" s="2392"/>
      <c r="J32" s="2392"/>
      <c r="K32" s="2392"/>
      <c r="L32" s="2392"/>
      <c r="M32" s="2392"/>
      <c r="N32" s="2392"/>
      <c r="O32" s="2392"/>
      <c r="P32" s="2392"/>
      <c r="Q32" s="2392"/>
      <c r="R32" s="2392"/>
      <c r="S32" s="728"/>
      <c r="T32" s="725"/>
      <c r="U32" s="634"/>
      <c r="V32" s="634"/>
      <c r="W32" s="635"/>
      <c r="X32" s="635"/>
      <c r="Y32" s="635"/>
      <c r="Z32" s="635"/>
      <c r="AA32" s="636"/>
      <c r="AB32" s="637"/>
      <c r="AC32" s="2384"/>
      <c r="AD32" s="638"/>
      <c r="AE32" s="639" t="s">
        <v>22</v>
      </c>
      <c r="AF32" s="639"/>
      <c r="AG32" s="640" t="s">
        <v>682</v>
      </c>
      <c r="AH32" s="641">
        <v>3</v>
      </c>
      <c r="AI32" s="634"/>
      <c r="AJ32" s="634"/>
      <c r="AK32" s="634"/>
      <c r="AL32" s="634"/>
      <c r="AM32" s="634"/>
      <c r="AN32" s="634"/>
      <c r="AO32" s="634"/>
      <c r="AP32" s="634"/>
      <c r="AQ32" s="634"/>
      <c r="AR32" s="634"/>
      <c r="AS32" s="634"/>
      <c r="AT32" s="634"/>
      <c r="AU32" s="634"/>
      <c r="AV32" s="634"/>
      <c r="AW32" s="634"/>
      <c r="AX32" s="634"/>
      <c r="AY32" s="634"/>
      <c r="AZ32" s="634"/>
      <c r="BA32" s="634"/>
      <c r="BB32" s="634"/>
      <c r="BC32" s="634"/>
      <c r="BD32" s="634"/>
      <c r="BE32" s="634"/>
      <c r="BF32" s="634"/>
      <c r="BG32" s="634"/>
      <c r="BH32" s="634"/>
      <c r="BI32" s="634"/>
      <c r="BJ32" s="634"/>
      <c r="BK32" s="634"/>
      <c r="BL32" s="634"/>
      <c r="BM32" s="634"/>
      <c r="BN32" s="634"/>
      <c r="BO32" s="634"/>
      <c r="BP32" s="634"/>
      <c r="BQ32" s="634"/>
      <c r="BR32" s="634"/>
      <c r="BS32" s="634"/>
      <c r="BT32" s="634"/>
      <c r="BU32" s="634"/>
      <c r="BV32" s="635"/>
      <c r="BW32" s="635"/>
      <c r="BX32" s="635"/>
      <c r="BY32" s="635"/>
      <c r="BZ32" s="635"/>
      <c r="CA32" s="635"/>
      <c r="CB32" s="635"/>
      <c r="CC32" s="635"/>
      <c r="CD32" s="635"/>
      <c r="CE32" s="635"/>
      <c r="CF32" s="1859"/>
    </row>
    <row customHeight="1" ht="15" hidden="1">
      <c r="A33" s="632"/>
      <c r="B33" s="633"/>
      <c r="C33" s="633"/>
      <c r="D33" s="2588"/>
      <c r="E33" s="2386" t="s">
        <v>637</v>
      </c>
      <c r="F33" s="2387"/>
      <c r="G33" s="2388"/>
      <c r="H33" s="2392" t="str">
        <f>IF(A32="","",INDEX(DIFFERENTIATION_UNMERGE_AREA,MATCH(A32,DIFFERENTIATION_ID_DIFF,0)))</f>
        <v>Территория 1</v>
      </c>
      <c r="I33" s="2392"/>
      <c r="J33" s="2392"/>
      <c r="K33" s="2392"/>
      <c r="L33" s="2392"/>
      <c r="M33" s="2392"/>
      <c r="N33" s="2392"/>
      <c r="O33" s="2392"/>
      <c r="P33" s="2392"/>
      <c r="Q33" s="2392"/>
      <c r="R33" s="2392"/>
      <c r="S33" s="728"/>
      <c r="T33" s="725"/>
      <c r="U33" s="634"/>
      <c r="V33" s="634"/>
      <c r="W33" s="635"/>
      <c r="X33" s="635"/>
      <c r="Y33" s="635"/>
      <c r="Z33" s="635"/>
      <c r="AA33" s="636"/>
      <c r="AB33" s="637"/>
      <c r="AC33" s="2384"/>
      <c r="AD33" s="638"/>
      <c r="AE33" s="639"/>
      <c r="AF33" s="639"/>
      <c r="AG33" s="640"/>
      <c r="AH33" s="641"/>
      <c r="AI33" s="634"/>
      <c r="AJ33" s="634"/>
      <c r="AK33" s="634"/>
      <c r="AL33" s="634"/>
      <c r="AM33" s="634"/>
      <c r="AN33" s="634"/>
      <c r="AO33" s="634"/>
      <c r="AP33" s="634"/>
      <c r="AQ33" s="634"/>
      <c r="AR33" s="634"/>
      <c r="AS33" s="634"/>
      <c r="AT33" s="634"/>
      <c r="AU33" s="634"/>
      <c r="AV33" s="634"/>
      <c r="AW33" s="634"/>
      <c r="AX33" s="634"/>
      <c r="AY33" s="634"/>
      <c r="AZ33" s="634"/>
      <c r="BA33" s="634"/>
      <c r="BB33" s="634"/>
      <c r="BC33" s="634"/>
      <c r="BD33" s="634"/>
      <c r="BE33" s="634"/>
      <c r="BF33" s="634"/>
      <c r="BG33" s="634"/>
      <c r="BH33" s="634"/>
      <c r="BI33" s="634"/>
      <c r="BJ33" s="634"/>
      <c r="BK33" s="634"/>
      <c r="BL33" s="634"/>
      <c r="BM33" s="634"/>
      <c r="BN33" s="634"/>
      <c r="BO33" s="634"/>
      <c r="BP33" s="634"/>
      <c r="BQ33" s="634"/>
      <c r="BR33" s="634"/>
      <c r="BS33" s="634"/>
      <c r="BT33" s="634"/>
      <c r="BU33" s="634"/>
      <c r="BV33" s="635"/>
      <c r="BW33" s="635"/>
      <c r="BX33" s="635"/>
      <c r="BY33" s="635"/>
      <c r="BZ33" s="635"/>
      <c r="CA33" s="635"/>
      <c r="CB33" s="635"/>
      <c r="CC33" s="635"/>
      <c r="CD33" s="635"/>
      <c r="CE33" s="635"/>
      <c r="CF33" s="1859"/>
    </row>
    <row customHeight="1" ht="15" hidden="1">
      <c r="A34" s="632"/>
      <c r="B34" s="633"/>
      <c r="C34" s="633"/>
      <c r="D34" s="2588"/>
      <c r="E34" s="2386" t="s">
        <v>638</v>
      </c>
      <c r="F34" s="2387"/>
      <c r="G34" s="2388"/>
      <c r="H34" s="2392" t="str">
        <f>IF(A32="","",INDEX(DIFFERENTIATION_UNMERGE_SYSTEM,MATCH(A32,DIFFERENTIATION_ID_DIFF,0)))</f>
        <v>Котельная №3, ул.Комсомольская около д.1 по ул.Ленина</v>
      </c>
      <c r="I34" s="2392"/>
      <c r="J34" s="2392"/>
      <c r="K34" s="2392"/>
      <c r="L34" s="2392"/>
      <c r="M34" s="2392"/>
      <c r="N34" s="2392"/>
      <c r="O34" s="2392"/>
      <c r="P34" s="2392"/>
      <c r="Q34" s="2392"/>
      <c r="R34" s="2392"/>
      <c r="S34" s="728"/>
      <c r="T34" s="725"/>
      <c r="U34" s="634"/>
      <c r="V34" s="634"/>
      <c r="W34" s="635"/>
      <c r="X34" s="635"/>
      <c r="Y34" s="635"/>
      <c r="Z34" s="635"/>
      <c r="AA34" s="636"/>
      <c r="AB34" s="637"/>
      <c r="AC34" s="2384"/>
      <c r="AD34" s="638"/>
      <c r="AE34" s="639"/>
      <c r="AF34" s="639"/>
      <c r="AG34" s="640"/>
      <c r="AH34" s="641"/>
      <c r="AI34" s="634"/>
      <c r="AJ34" s="634"/>
      <c r="AK34" s="634"/>
      <c r="AL34" s="634"/>
      <c r="AM34" s="634"/>
      <c r="AN34" s="634"/>
      <c r="AO34" s="634"/>
      <c r="AP34" s="634"/>
      <c r="AQ34" s="634"/>
      <c r="AR34" s="634"/>
      <c r="AS34" s="634"/>
      <c r="AT34" s="634"/>
      <c r="AU34" s="634"/>
      <c r="AV34" s="634"/>
      <c r="AW34" s="634"/>
      <c r="AX34" s="634"/>
      <c r="AY34" s="634"/>
      <c r="AZ34" s="634"/>
      <c r="BA34" s="634"/>
      <c r="BB34" s="634"/>
      <c r="BC34" s="634"/>
      <c r="BD34" s="634"/>
      <c r="BE34" s="634"/>
      <c r="BF34" s="634"/>
      <c r="BG34" s="634"/>
      <c r="BH34" s="634"/>
      <c r="BI34" s="634"/>
      <c r="BJ34" s="634"/>
      <c r="BK34" s="634"/>
      <c r="BL34" s="634"/>
      <c r="BM34" s="634"/>
      <c r="BN34" s="634"/>
      <c r="BO34" s="634"/>
      <c r="BP34" s="634"/>
      <c r="BQ34" s="634"/>
      <c r="BR34" s="634"/>
      <c r="BS34" s="634"/>
      <c r="BT34" s="634"/>
      <c r="BU34" s="634"/>
      <c r="BV34" s="635"/>
      <c r="BW34" s="635"/>
      <c r="BX34" s="635"/>
      <c r="BY34" s="635"/>
      <c r="BZ34" s="635"/>
      <c r="CA34" s="635"/>
      <c r="CB34" s="635"/>
      <c r="CC34" s="635"/>
      <c r="CD34" s="635"/>
      <c r="CE34" s="635"/>
      <c r="CF34" s="1859"/>
    </row>
    <row customHeight="1" ht="24.75" hidden="1">
      <c r="A35" s="1815"/>
      <c r="B35" s="1169"/>
      <c r="C35" s="421"/>
      <c r="D35" s="2588"/>
      <c r="E35" s="2385" t="s">
        <v>683</v>
      </c>
      <c r="F35" s="2385"/>
      <c r="G35" s="2385"/>
      <c r="H35" s="2385"/>
      <c r="I35" s="2385"/>
      <c r="J35" s="2385"/>
      <c r="K35" s="2385"/>
      <c r="L35" s="2385"/>
      <c r="M35" s="2385"/>
      <c r="N35" s="2385"/>
      <c r="O35" s="2385"/>
      <c r="P35" s="2385"/>
      <c r="Q35" s="567">
        <f>SUMIF(T36:T37,"i",Q36:Q37)</f>
        <v>0</v>
      </c>
      <c r="R35" s="1026"/>
      <c r="S35" s="1807" t="s">
        <v>684</v>
      </c>
      <c r="T35" s="726" t="s">
        <v>685</v>
      </c>
      <c r="U35" s="2383">
        <v>1</v>
      </c>
      <c r="V35" s="2383" t="s">
        <v>648</v>
      </c>
      <c r="W35" s="1169"/>
      <c r="X35" s="1169"/>
      <c r="Y35" s="1169"/>
      <c r="Z35" s="1169"/>
      <c r="AA35" s="1645"/>
      <c r="AB35" s="1169"/>
      <c r="AC35" s="2384"/>
      <c r="AD35" s="638"/>
      <c r="AE35" s="1169"/>
      <c r="AF35" s="1169"/>
      <c r="AG35" s="1645"/>
      <c r="AH35" s="1645"/>
      <c r="AI35" s="1645"/>
      <c r="AJ35" s="1645"/>
      <c r="AK35" s="1645"/>
      <c r="AL35" s="1645"/>
      <c r="AM35" s="1645"/>
      <c r="AN35" s="1645"/>
      <c r="AO35" s="1645"/>
      <c r="AP35" s="1645"/>
      <c r="AQ35" s="1645"/>
      <c r="AR35" s="1645"/>
      <c r="AS35" s="1645"/>
      <c r="AT35" s="1645"/>
      <c r="AU35" s="1645"/>
      <c r="AV35" s="1645"/>
      <c r="AW35" s="1645"/>
      <c r="AX35" s="1645"/>
      <c r="AY35" s="1645"/>
      <c r="AZ35" s="1645"/>
      <c r="BA35" s="1645"/>
      <c r="BB35" s="1645"/>
      <c r="BC35" s="1645"/>
      <c r="BD35" s="1645"/>
      <c r="BE35" s="1645"/>
      <c r="BF35" s="1645"/>
      <c r="BG35" s="1645"/>
      <c r="BH35" s="1645"/>
      <c r="BI35" s="1645"/>
      <c r="BJ35" s="1645"/>
      <c r="BK35" s="1645"/>
      <c r="BL35" s="1645"/>
      <c r="BM35" s="1645"/>
      <c r="BN35" s="1645"/>
      <c r="BO35" s="1645"/>
      <c r="BP35" s="1645"/>
      <c r="BQ35" s="1645"/>
      <c r="BR35" s="1645"/>
      <c r="BS35" s="1645"/>
      <c r="BT35" s="1645"/>
      <c r="BU35" s="1645"/>
      <c r="BV35" s="1169"/>
      <c r="BW35" s="1169"/>
      <c r="BX35" s="1169"/>
      <c r="BY35" s="1169"/>
      <c r="BZ35" s="1169"/>
      <c r="CA35" s="1169"/>
      <c r="CB35" s="1169"/>
      <c r="CC35" s="1169"/>
      <c r="CD35" s="1169"/>
      <c r="CE35" s="1169"/>
      <c r="CF35" s="1859"/>
    </row>
    <row customHeight="1" ht="11.25" hidden="1">
      <c r="A36" s="1802"/>
      <c r="B36" s="1645"/>
      <c r="C36" s="1645"/>
      <c r="D36" s="2588"/>
      <c r="E36" s="644"/>
      <c r="F36" s="644">
        <v>0</v>
      </c>
      <c r="G36" s="644"/>
      <c r="H36" s="644"/>
      <c r="I36" s="644"/>
      <c r="J36" s="644"/>
      <c r="K36" s="644"/>
      <c r="L36" s="644"/>
      <c r="M36" s="644"/>
      <c r="N36" s="644"/>
      <c r="O36" s="644"/>
      <c r="P36" s="644"/>
      <c r="Q36" s="644"/>
      <c r="R36" s="644"/>
      <c r="S36" s="645"/>
      <c r="T36" s="727"/>
      <c r="U36" s="2383"/>
      <c r="V36" s="2383"/>
      <c r="W36" s="1645"/>
      <c r="X36" s="1645"/>
      <c r="Y36" s="1645"/>
      <c r="Z36" s="1645"/>
      <c r="AA36" s="1645"/>
      <c r="AB36" s="1169"/>
      <c r="AC36" s="2384"/>
      <c r="AD36" s="638"/>
      <c r="AE36" s="1169"/>
      <c r="AF36" s="1169"/>
      <c r="AG36" s="1645"/>
      <c r="AH36" s="1645"/>
      <c r="AI36" s="1645"/>
      <c r="AJ36" s="1645"/>
      <c r="AK36" s="1645"/>
      <c r="AL36" s="1645"/>
      <c r="AM36" s="1645"/>
      <c r="AN36" s="1645"/>
      <c r="AO36" s="1645"/>
      <c r="AP36" s="1645"/>
      <c r="AQ36" s="1645"/>
      <c r="AR36" s="1645"/>
      <c r="AS36" s="1645"/>
      <c r="AT36" s="1645"/>
      <c r="AU36" s="1645"/>
      <c r="AV36" s="1645"/>
      <c r="AW36" s="1645"/>
      <c r="AX36" s="1645"/>
      <c r="AY36" s="1645"/>
      <c r="AZ36" s="1645"/>
      <c r="BA36" s="1645"/>
      <c r="BB36" s="1645"/>
      <c r="BC36" s="1645"/>
      <c r="BD36" s="1645"/>
      <c r="BE36" s="1645"/>
      <c r="BF36" s="1645"/>
      <c r="BG36" s="1645"/>
      <c r="BH36" s="1645"/>
      <c r="BI36" s="1645"/>
      <c r="BJ36" s="1645"/>
      <c r="BK36" s="1645"/>
      <c r="BL36" s="1645"/>
      <c r="BM36" s="1645"/>
      <c r="BN36" s="1645"/>
      <c r="BO36" s="1645"/>
      <c r="BP36" s="1645"/>
      <c r="BQ36" s="1645"/>
      <c r="BR36" s="1645"/>
      <c r="BS36" s="1645"/>
      <c r="BT36" s="1645"/>
      <c r="BU36" s="1645"/>
      <c r="BV36" s="1645"/>
      <c r="BW36" s="1645"/>
      <c r="BX36" s="1645"/>
      <c r="BY36" s="1645"/>
      <c r="BZ36" s="1645"/>
      <c r="CA36" s="1645"/>
      <c r="CB36" s="1645"/>
      <c r="CC36" s="1645"/>
      <c r="CD36" s="1645"/>
      <c r="CE36" s="1645"/>
      <c r="CF36" s="1859"/>
    </row>
    <row customHeight="1" ht="11.25" hidden="1">
      <c r="A37" s="1815"/>
      <c r="B37" s="1169"/>
      <c r="C37" s="421"/>
      <c r="D37" s="2588"/>
      <c r="E37" s="658" t="s">
        <v>22</v>
      </c>
      <c r="F37" s="1177" t="s">
        <v>22</v>
      </c>
      <c r="G37" s="1177" t="s">
        <v>688</v>
      </c>
      <c r="H37" s="660" t="s">
        <v>22</v>
      </c>
      <c r="I37" s="660"/>
      <c r="J37" s="660"/>
      <c r="K37" s="660"/>
      <c r="L37" s="660"/>
      <c r="M37" s="660"/>
      <c r="N37" s="660"/>
      <c r="O37" s="660"/>
      <c r="P37" s="660"/>
      <c r="Q37" s="660"/>
      <c r="R37" s="661"/>
      <c r="S37" s="662"/>
      <c r="T37" s="727"/>
      <c r="U37" s="2383"/>
      <c r="V37" s="2383"/>
      <c r="W37" s="1169"/>
      <c r="X37" s="1169"/>
      <c r="Y37" s="1169"/>
      <c r="Z37" s="1169"/>
      <c r="AA37" s="1645"/>
      <c r="AB37" s="1169"/>
      <c r="AC37" s="2384"/>
      <c r="AD37" s="638"/>
      <c r="AE37" s="1169"/>
      <c r="AF37" s="1169"/>
      <c r="AG37" s="1645"/>
      <c r="AH37" s="1645"/>
      <c r="AI37" s="1645"/>
      <c r="AJ37" s="1645"/>
      <c r="AK37" s="1645"/>
      <c r="AL37" s="1645"/>
      <c r="AM37" s="1645"/>
      <c r="AN37" s="1645"/>
      <c r="AO37" s="1645"/>
      <c r="AP37" s="1645"/>
      <c r="AQ37" s="1645"/>
      <c r="AR37" s="1645"/>
      <c r="AS37" s="1645"/>
      <c r="AT37" s="1645"/>
      <c r="AU37" s="1645"/>
      <c r="AV37" s="1645"/>
      <c r="AW37" s="1645"/>
      <c r="AX37" s="1645"/>
      <c r="AY37" s="1645"/>
      <c r="AZ37" s="1645"/>
      <c r="BA37" s="1645"/>
      <c r="BB37" s="1645"/>
      <c r="BC37" s="1645"/>
      <c r="BD37" s="1645"/>
      <c r="BE37" s="1645"/>
      <c r="BF37" s="1645"/>
      <c r="BG37" s="1645"/>
      <c r="BH37" s="1645"/>
      <c r="BI37" s="1645"/>
      <c r="BJ37" s="1645"/>
      <c r="BK37" s="1645"/>
      <c r="BL37" s="1645"/>
      <c r="BM37" s="1645"/>
      <c r="BN37" s="1645"/>
      <c r="BO37" s="1645"/>
      <c r="BP37" s="1645"/>
      <c r="BQ37" s="1645"/>
      <c r="BR37" s="1645"/>
      <c r="BS37" s="1645"/>
      <c r="BT37" s="1645"/>
      <c r="BU37" s="1645"/>
      <c r="BV37" s="1169"/>
      <c r="BW37" s="1169"/>
      <c r="BX37" s="1169"/>
      <c r="BY37" s="1169"/>
      <c r="BZ37" s="1169"/>
      <c r="CA37" s="1169"/>
      <c r="CB37" s="1169"/>
      <c r="CC37" s="1169"/>
      <c r="CD37" s="1169"/>
      <c r="CE37" s="1169"/>
      <c r="CF37" s="1859"/>
    </row>
    <row customHeight="1" ht="5.25" hidden="1">
      <c r="A38" s="1802"/>
      <c r="B38" s="1645"/>
      <c r="C38" s="1645"/>
      <c r="D38" s="2588"/>
      <c r="E38" s="1048"/>
      <c r="F38" s="1048"/>
      <c r="G38" s="1048"/>
      <c r="H38" s="1048"/>
      <c r="I38" s="1048"/>
      <c r="J38" s="1048"/>
      <c r="K38" s="1048"/>
      <c r="L38" s="1048"/>
      <c r="M38" s="1048"/>
      <c r="N38" s="1048"/>
      <c r="O38" s="1048"/>
      <c r="P38" s="1048"/>
      <c r="Q38" s="1049"/>
      <c r="R38" s="1050"/>
      <c r="S38" s="1051"/>
      <c r="T38" s="726" t="s">
        <v>685</v>
      </c>
      <c r="U38" s="2383">
        <v>1</v>
      </c>
      <c r="V38" s="2383" t="s">
        <v>648</v>
      </c>
      <c r="W38" s="1645"/>
      <c r="X38" s="1645"/>
      <c r="Y38" s="1645"/>
      <c r="Z38" s="1645"/>
      <c r="AA38" s="1645"/>
      <c r="AB38" s="1645"/>
      <c r="AC38" s="1046"/>
      <c r="AD38" s="1047"/>
      <c r="AE38" s="1645"/>
      <c r="AF38" s="1645"/>
      <c r="AG38" s="1645"/>
      <c r="AH38" s="1645"/>
      <c r="AI38" s="1645"/>
      <c r="AJ38" s="1645"/>
      <c r="AK38" s="1645"/>
      <c r="AL38" s="1645"/>
      <c r="AM38" s="1645"/>
      <c r="AN38" s="1645"/>
      <c r="AO38" s="1645"/>
      <c r="AP38" s="1645"/>
      <c r="AQ38" s="1645"/>
      <c r="AR38" s="1645"/>
      <c r="AS38" s="1645"/>
      <c r="AT38" s="1645"/>
      <c r="AU38" s="1645"/>
      <c r="AV38" s="1645"/>
      <c r="AW38" s="1645"/>
      <c r="AX38" s="1645"/>
      <c r="AY38" s="1645"/>
      <c r="AZ38" s="1645"/>
      <c r="BA38" s="1645"/>
      <c r="BB38" s="1645"/>
      <c r="BC38" s="1645"/>
      <c r="BD38" s="1645"/>
      <c r="BE38" s="1645"/>
      <c r="BF38" s="1645"/>
      <c r="BG38" s="1645"/>
      <c r="BH38" s="1645"/>
      <c r="BI38" s="1645"/>
      <c r="BJ38" s="1645"/>
      <c r="BK38" s="1645"/>
      <c r="BL38" s="1645"/>
      <c r="BM38" s="1645"/>
      <c r="BN38" s="1645"/>
      <c r="BO38" s="1645"/>
      <c r="BP38" s="1645"/>
      <c r="BQ38" s="1645"/>
      <c r="BR38" s="1645"/>
      <c r="BS38" s="1645"/>
      <c r="BT38" s="1645"/>
      <c r="BU38" s="1645"/>
      <c r="BV38" s="1645"/>
      <c r="BW38" s="1645"/>
      <c r="BX38" s="1645"/>
      <c r="BY38" s="1645"/>
      <c r="BZ38" s="1645"/>
      <c r="CA38" s="1645"/>
      <c r="CB38" s="1645"/>
      <c r="CC38" s="1645"/>
      <c r="CD38" s="1645"/>
      <c r="CE38" s="1645"/>
      <c r="CF38" s="1325"/>
    </row>
    <row customHeight="1" ht="5.25" hidden="1">
      <c r="A39" s="1802"/>
      <c r="B39" s="1645"/>
      <c r="C39" s="1645"/>
      <c r="D39" s="2588"/>
      <c r="E39" s="644"/>
      <c r="F39" s="644"/>
      <c r="G39" s="644"/>
      <c r="H39" s="644"/>
      <c r="I39" s="644"/>
      <c r="J39" s="644"/>
      <c r="K39" s="644"/>
      <c r="L39" s="644"/>
      <c r="M39" s="644"/>
      <c r="N39" s="644"/>
      <c r="O39" s="644"/>
      <c r="P39" s="644"/>
      <c r="Q39" s="644"/>
      <c r="R39" s="644"/>
      <c r="S39" s="645"/>
      <c r="T39" s="727"/>
      <c r="U39" s="2383"/>
      <c r="V39" s="2383"/>
      <c r="W39" s="1645"/>
      <c r="X39" s="1645"/>
      <c r="Y39" s="1645"/>
      <c r="Z39" s="1645"/>
      <c r="AA39" s="1645"/>
      <c r="AB39" s="1645"/>
      <c r="AC39" s="1046"/>
      <c r="AD39" s="1047"/>
      <c r="AE39" s="1645"/>
      <c r="AF39" s="1645"/>
      <c r="AG39" s="1645"/>
      <c r="AH39" s="1645"/>
      <c r="AI39" s="1645"/>
      <c r="AJ39" s="1645"/>
      <c r="AK39" s="1645"/>
      <c r="AL39" s="1645"/>
      <c r="AM39" s="1645"/>
      <c r="AN39" s="1645"/>
      <c r="AO39" s="1645"/>
      <c r="AP39" s="1645"/>
      <c r="AQ39" s="1645"/>
      <c r="AR39" s="1645"/>
      <c r="AS39" s="1645"/>
      <c r="AT39" s="1645"/>
      <c r="AU39" s="1645"/>
      <c r="AV39" s="1645"/>
      <c r="AW39" s="1645"/>
      <c r="AX39" s="1645"/>
      <c r="AY39" s="1645"/>
      <c r="AZ39" s="1645"/>
      <c r="BA39" s="1645"/>
      <c r="BB39" s="1645"/>
      <c r="BC39" s="1645"/>
      <c r="BD39" s="1645"/>
      <c r="BE39" s="1645"/>
      <c r="BF39" s="1645"/>
      <c r="BG39" s="1645"/>
      <c r="BH39" s="1645"/>
      <c r="BI39" s="1645"/>
      <c r="BJ39" s="1645"/>
      <c r="BK39" s="1645"/>
      <c r="BL39" s="1645"/>
      <c r="BM39" s="1645"/>
      <c r="BN39" s="1645"/>
      <c r="BO39" s="1645"/>
      <c r="BP39" s="1645"/>
      <c r="BQ39" s="1645"/>
      <c r="BR39" s="1645"/>
      <c r="BS39" s="1645"/>
      <c r="BT39" s="1645"/>
      <c r="BU39" s="1645"/>
      <c r="BV39" s="1645"/>
      <c r="BW39" s="1645"/>
      <c r="BX39" s="1645"/>
      <c r="BY39" s="1645"/>
      <c r="BZ39" s="1645"/>
      <c r="CA39" s="1645"/>
      <c r="CB39" s="1645"/>
      <c r="CC39" s="1645"/>
      <c r="CD39" s="1645"/>
      <c r="CE39" s="1645"/>
      <c r="CF39" s="1325"/>
    </row>
    <row customHeight="1" ht="5.25" hidden="1">
      <c r="A40" s="1802"/>
      <c r="B40" s="1645"/>
      <c r="C40" s="1645"/>
      <c r="D40" s="2589"/>
      <c r="E40" s="1052"/>
      <c r="F40" s="1053"/>
      <c r="G40" s="1053"/>
      <c r="H40" s="1054"/>
      <c r="I40" s="1054"/>
      <c r="J40" s="1054"/>
      <c r="K40" s="1054"/>
      <c r="L40" s="1054"/>
      <c r="M40" s="1054"/>
      <c r="N40" s="1054"/>
      <c r="O40" s="1054"/>
      <c r="P40" s="1054"/>
      <c r="Q40" s="1054"/>
      <c r="R40" s="955"/>
      <c r="S40" s="1055"/>
      <c r="T40" s="727"/>
      <c r="U40" s="2383"/>
      <c r="V40" s="2383"/>
      <c r="W40" s="1645"/>
      <c r="X40" s="1645"/>
      <c r="Y40" s="1645"/>
      <c r="Z40" s="1645"/>
      <c r="AA40" s="1645"/>
      <c r="AB40" s="1645"/>
      <c r="AC40" s="1046"/>
      <c r="AD40" s="1047"/>
      <c r="AE40" s="1645"/>
      <c r="AF40" s="1645"/>
      <c r="AG40" s="1645"/>
      <c r="AH40" s="1645"/>
      <c r="AI40" s="1645"/>
      <c r="AJ40" s="1645"/>
      <c r="AK40" s="1645"/>
      <c r="AL40" s="1645"/>
      <c r="AM40" s="1645"/>
      <c r="AN40" s="1645"/>
      <c r="AO40" s="1645"/>
      <c r="AP40" s="1645"/>
      <c r="AQ40" s="1645"/>
      <c r="AR40" s="1645"/>
      <c r="AS40" s="1645"/>
      <c r="AT40" s="1645"/>
      <c r="AU40" s="1645"/>
      <c r="AV40" s="1645"/>
      <c r="AW40" s="1645"/>
      <c r="AX40" s="1645"/>
      <c r="AY40" s="1645"/>
      <c r="AZ40" s="1645"/>
      <c r="BA40" s="1645"/>
      <c r="BB40" s="1645"/>
      <c r="BC40" s="1645"/>
      <c r="BD40" s="1645"/>
      <c r="BE40" s="1645"/>
      <c r="BF40" s="1645"/>
      <c r="BG40" s="1645"/>
      <c r="BH40" s="1645"/>
      <c r="BI40" s="1645"/>
      <c r="BJ40" s="1645"/>
      <c r="BK40" s="1645"/>
      <c r="BL40" s="1645"/>
      <c r="BM40" s="1645"/>
      <c r="BN40" s="1645"/>
      <c r="BO40" s="1645"/>
      <c r="BP40" s="1645"/>
      <c r="BQ40" s="1645"/>
      <c r="BR40" s="1645"/>
      <c r="BS40" s="1645"/>
      <c r="BT40" s="1645"/>
      <c r="BU40" s="1645"/>
      <c r="BV40" s="1645"/>
      <c r="BW40" s="1645"/>
      <c r="BX40" s="1645"/>
      <c r="BY40" s="1645"/>
      <c r="BZ40" s="1645"/>
      <c r="CA40" s="1645"/>
      <c r="CB40" s="1645"/>
      <c r="CC40" s="1645"/>
      <c r="CD40" s="1645"/>
      <c r="CE40" s="1645"/>
      <c r="CF40" s="1325"/>
    </row>
    <row customHeight="1" ht="15" hidden="1">
      <c r="A41" s="632" t="s">
        <v>127</v>
      </c>
      <c r="B41" s="633"/>
      <c r="C41" s="633" t="s">
        <v>22</v>
      </c>
      <c r="D41" s="2587" t="s">
        <v>690</v>
      </c>
      <c r="E41" s="2386" t="s">
        <v>105</v>
      </c>
      <c r="F41" s="2387"/>
      <c r="G41" s="2388"/>
      <c r="H41" s="2392" t="str">
        <f>IF(A41="","",INDEX(DIFFERENTIATION_UNMERGE_VD,MATCH(A41,DIFFERENTIATION_ID_DIFF,0)))</f>
        <v>Производство тепловой энергии. Некомбинированная выработка</v>
      </c>
      <c r="I41" s="2392"/>
      <c r="J41" s="2392"/>
      <c r="K41" s="2392"/>
      <c r="L41" s="2392"/>
      <c r="M41" s="2392"/>
      <c r="N41" s="2392"/>
      <c r="O41" s="2392"/>
      <c r="P41" s="2392"/>
      <c r="Q41" s="2392"/>
      <c r="R41" s="2392"/>
      <c r="S41" s="728"/>
      <c r="T41" s="725"/>
      <c r="U41" s="634"/>
      <c r="V41" s="634"/>
      <c r="W41" s="635"/>
      <c r="X41" s="635"/>
      <c r="Y41" s="635"/>
      <c r="Z41" s="635"/>
      <c r="AA41" s="636"/>
      <c r="AB41" s="637"/>
      <c r="AC41" s="2384"/>
      <c r="AD41" s="638"/>
      <c r="AE41" s="639" t="s">
        <v>22</v>
      </c>
      <c r="AF41" s="639"/>
      <c r="AG41" s="640" t="s">
        <v>682</v>
      </c>
      <c r="AH41" s="641">
        <v>3</v>
      </c>
      <c r="AI41" s="634"/>
      <c r="AJ41" s="634"/>
      <c r="AK41" s="634"/>
      <c r="AL41" s="634"/>
      <c r="AM41" s="634"/>
      <c r="AN41" s="634"/>
      <c r="AO41" s="634"/>
      <c r="AP41" s="634"/>
      <c r="AQ41" s="634"/>
      <c r="AR41" s="634"/>
      <c r="AS41" s="634"/>
      <c r="AT41" s="634"/>
      <c r="AU41" s="634"/>
      <c r="AV41" s="634"/>
      <c r="AW41" s="634"/>
      <c r="AX41" s="634"/>
      <c r="AY41" s="634"/>
      <c r="AZ41" s="634"/>
      <c r="BA41" s="634"/>
      <c r="BB41" s="634"/>
      <c r="BC41" s="634"/>
      <c r="BD41" s="634"/>
      <c r="BE41" s="634"/>
      <c r="BF41" s="634"/>
      <c r="BG41" s="634"/>
      <c r="BH41" s="634"/>
      <c r="BI41" s="634"/>
      <c r="BJ41" s="634"/>
      <c r="BK41" s="634"/>
      <c r="BL41" s="634"/>
      <c r="BM41" s="634"/>
      <c r="BN41" s="634"/>
      <c r="BO41" s="634"/>
      <c r="BP41" s="634"/>
      <c r="BQ41" s="634"/>
      <c r="BR41" s="634"/>
      <c r="BS41" s="634"/>
      <c r="BT41" s="634"/>
      <c r="BU41" s="634"/>
      <c r="BV41" s="635"/>
      <c r="BW41" s="635"/>
      <c r="BX41" s="635"/>
      <c r="BY41" s="635"/>
      <c r="BZ41" s="635"/>
      <c r="CA41" s="635"/>
      <c r="CB41" s="635"/>
      <c r="CC41" s="635"/>
      <c r="CD41" s="635"/>
      <c r="CE41" s="635"/>
      <c r="CF41" s="1859"/>
    </row>
    <row customHeight="1" ht="15" hidden="1">
      <c r="A42" s="632"/>
      <c r="B42" s="633"/>
      <c r="C42" s="633"/>
      <c r="D42" s="2588"/>
      <c r="E42" s="2386" t="s">
        <v>637</v>
      </c>
      <c r="F42" s="2387"/>
      <c r="G42" s="2388"/>
      <c r="H42" s="2392" t="str">
        <f>IF(A41="","",INDEX(DIFFERENTIATION_UNMERGE_AREA,MATCH(A41,DIFFERENTIATION_ID_DIFF,0)))</f>
        <v>Территория 1</v>
      </c>
      <c r="I42" s="2392"/>
      <c r="J42" s="2392"/>
      <c r="K42" s="2392"/>
      <c r="L42" s="2392"/>
      <c r="M42" s="2392"/>
      <c r="N42" s="2392"/>
      <c r="O42" s="2392"/>
      <c r="P42" s="2392"/>
      <c r="Q42" s="2392"/>
      <c r="R42" s="2392"/>
      <c r="S42" s="728"/>
      <c r="T42" s="725"/>
      <c r="U42" s="634"/>
      <c r="V42" s="634"/>
      <c r="W42" s="635"/>
      <c r="X42" s="635"/>
      <c r="Y42" s="635"/>
      <c r="Z42" s="635"/>
      <c r="AA42" s="636"/>
      <c r="AB42" s="637"/>
      <c r="AC42" s="2384"/>
      <c r="AD42" s="638"/>
      <c r="AE42" s="639"/>
      <c r="AF42" s="639"/>
      <c r="AG42" s="640"/>
      <c r="AH42" s="641"/>
      <c r="AI42" s="634"/>
      <c r="AJ42" s="634"/>
      <c r="AK42" s="634"/>
      <c r="AL42" s="634"/>
      <c r="AM42" s="634"/>
      <c r="AN42" s="634"/>
      <c r="AO42" s="634"/>
      <c r="AP42" s="634"/>
      <c r="AQ42" s="634"/>
      <c r="AR42" s="634"/>
      <c r="AS42" s="634"/>
      <c r="AT42" s="634"/>
      <c r="AU42" s="634"/>
      <c r="AV42" s="634"/>
      <c r="AW42" s="634"/>
      <c r="AX42" s="634"/>
      <c r="AY42" s="634"/>
      <c r="AZ42" s="634"/>
      <c r="BA42" s="634"/>
      <c r="BB42" s="634"/>
      <c r="BC42" s="634"/>
      <c r="BD42" s="634"/>
      <c r="BE42" s="634"/>
      <c r="BF42" s="634"/>
      <c r="BG42" s="634"/>
      <c r="BH42" s="634"/>
      <c r="BI42" s="634"/>
      <c r="BJ42" s="634"/>
      <c r="BK42" s="634"/>
      <c r="BL42" s="634"/>
      <c r="BM42" s="634"/>
      <c r="BN42" s="634"/>
      <c r="BO42" s="634"/>
      <c r="BP42" s="634"/>
      <c r="BQ42" s="634"/>
      <c r="BR42" s="634"/>
      <c r="BS42" s="634"/>
      <c r="BT42" s="634"/>
      <c r="BU42" s="634"/>
      <c r="BV42" s="635"/>
      <c r="BW42" s="635"/>
      <c r="BX42" s="635"/>
      <c r="BY42" s="635"/>
      <c r="BZ42" s="635"/>
      <c r="CA42" s="635"/>
      <c r="CB42" s="635"/>
      <c r="CC42" s="635"/>
      <c r="CD42" s="635"/>
      <c r="CE42" s="635"/>
      <c r="CF42" s="1859"/>
    </row>
    <row customHeight="1" ht="15" hidden="1">
      <c r="A43" s="632"/>
      <c r="B43" s="633"/>
      <c r="C43" s="633"/>
      <c r="D43" s="2588"/>
      <c r="E43" s="2386" t="s">
        <v>638</v>
      </c>
      <c r="F43" s="2387"/>
      <c r="G43" s="2388"/>
      <c r="H43" s="2392" t="str">
        <f>IF(A41="","",INDEX(DIFFERENTIATION_UNMERGE_SYSTEM,MATCH(A41,DIFFERENTIATION_ID_DIFF,0)))</f>
        <v>Тепловой центр №1 ул.Вокзальная ок д.№8</v>
      </c>
      <c r="I43" s="2392"/>
      <c r="J43" s="2392"/>
      <c r="K43" s="2392"/>
      <c r="L43" s="2392"/>
      <c r="M43" s="2392"/>
      <c r="N43" s="2392"/>
      <c r="O43" s="2392"/>
      <c r="P43" s="2392"/>
      <c r="Q43" s="2392"/>
      <c r="R43" s="2392"/>
      <c r="S43" s="728"/>
      <c r="T43" s="725"/>
      <c r="U43" s="634"/>
      <c r="V43" s="634"/>
      <c r="W43" s="635"/>
      <c r="X43" s="635"/>
      <c r="Y43" s="635"/>
      <c r="Z43" s="635"/>
      <c r="AA43" s="636"/>
      <c r="AB43" s="637"/>
      <c r="AC43" s="2384"/>
      <c r="AD43" s="638"/>
      <c r="AE43" s="639"/>
      <c r="AF43" s="639"/>
      <c r="AG43" s="640"/>
      <c r="AH43" s="641"/>
      <c r="AI43" s="634"/>
      <c r="AJ43" s="634"/>
      <c r="AK43" s="634"/>
      <c r="AL43" s="634"/>
      <c r="AM43" s="634"/>
      <c r="AN43" s="634"/>
      <c r="AO43" s="634"/>
      <c r="AP43" s="634"/>
      <c r="AQ43" s="634"/>
      <c r="AR43" s="634"/>
      <c r="AS43" s="634"/>
      <c r="AT43" s="634"/>
      <c r="AU43" s="634"/>
      <c r="AV43" s="634"/>
      <c r="AW43" s="634"/>
      <c r="AX43" s="634"/>
      <c r="AY43" s="634"/>
      <c r="AZ43" s="634"/>
      <c r="BA43" s="634"/>
      <c r="BB43" s="634"/>
      <c r="BC43" s="634"/>
      <c r="BD43" s="634"/>
      <c r="BE43" s="634"/>
      <c r="BF43" s="634"/>
      <c r="BG43" s="634"/>
      <c r="BH43" s="634"/>
      <c r="BI43" s="634"/>
      <c r="BJ43" s="634"/>
      <c r="BK43" s="634"/>
      <c r="BL43" s="634"/>
      <c r="BM43" s="634"/>
      <c r="BN43" s="634"/>
      <c r="BO43" s="634"/>
      <c r="BP43" s="634"/>
      <c r="BQ43" s="634"/>
      <c r="BR43" s="634"/>
      <c r="BS43" s="634"/>
      <c r="BT43" s="634"/>
      <c r="BU43" s="634"/>
      <c r="BV43" s="635"/>
      <c r="BW43" s="635"/>
      <c r="BX43" s="635"/>
      <c r="BY43" s="635"/>
      <c r="BZ43" s="635"/>
      <c r="CA43" s="635"/>
      <c r="CB43" s="635"/>
      <c r="CC43" s="635"/>
      <c r="CD43" s="635"/>
      <c r="CE43" s="635"/>
      <c r="CF43" s="1859"/>
    </row>
    <row customHeight="1" ht="24.75" hidden="1">
      <c r="A44" s="1815"/>
      <c r="B44" s="1169"/>
      <c r="C44" s="421"/>
      <c r="D44" s="2588"/>
      <c r="E44" s="2385" t="s">
        <v>683</v>
      </c>
      <c r="F44" s="2385"/>
      <c r="G44" s="2385"/>
      <c r="H44" s="2385"/>
      <c r="I44" s="2385"/>
      <c r="J44" s="2385"/>
      <c r="K44" s="2385"/>
      <c r="L44" s="2385"/>
      <c r="M44" s="2385"/>
      <c r="N44" s="2385"/>
      <c r="O44" s="2385"/>
      <c r="P44" s="2385"/>
      <c r="Q44" s="567">
        <f>SUMIF(T45:T46,"i",Q45:Q46)</f>
        <v>0</v>
      </c>
      <c r="R44" s="1026"/>
      <c r="S44" s="1807" t="s">
        <v>684</v>
      </c>
      <c r="T44" s="726" t="s">
        <v>685</v>
      </c>
      <c r="U44" s="2383">
        <v>1</v>
      </c>
      <c r="V44" s="2383" t="s">
        <v>648</v>
      </c>
      <c r="W44" s="1169"/>
      <c r="X44" s="1169"/>
      <c r="Y44" s="1169"/>
      <c r="Z44" s="1169"/>
      <c r="AA44" s="1645"/>
      <c r="AB44" s="1169"/>
      <c r="AC44" s="2384"/>
      <c r="AD44" s="638"/>
      <c r="AE44" s="1169"/>
      <c r="AF44" s="1169"/>
      <c r="AG44" s="1645"/>
      <c r="AH44" s="1645"/>
      <c r="AI44" s="1645"/>
      <c r="AJ44" s="1645"/>
      <c r="AK44" s="1645"/>
      <c r="AL44" s="1645"/>
      <c r="AM44" s="1645"/>
      <c r="AN44" s="1645"/>
      <c r="AO44" s="1645"/>
      <c r="AP44" s="1645"/>
      <c r="AQ44" s="1645"/>
      <c r="AR44" s="1645"/>
      <c r="AS44" s="1645"/>
      <c r="AT44" s="1645"/>
      <c r="AU44" s="1645"/>
      <c r="AV44" s="1645"/>
      <c r="AW44" s="1645"/>
      <c r="AX44" s="1645"/>
      <c r="AY44" s="1645"/>
      <c r="AZ44" s="1645"/>
      <c r="BA44" s="1645"/>
      <c r="BB44" s="1645"/>
      <c r="BC44" s="1645"/>
      <c r="BD44" s="1645"/>
      <c r="BE44" s="1645"/>
      <c r="BF44" s="1645"/>
      <c r="BG44" s="1645"/>
      <c r="BH44" s="1645"/>
      <c r="BI44" s="1645"/>
      <c r="BJ44" s="1645"/>
      <c r="BK44" s="1645"/>
      <c r="BL44" s="1645"/>
      <c r="BM44" s="1645"/>
      <c r="BN44" s="1645"/>
      <c r="BO44" s="1645"/>
      <c r="BP44" s="1645"/>
      <c r="BQ44" s="1645"/>
      <c r="BR44" s="1645"/>
      <c r="BS44" s="1645"/>
      <c r="BT44" s="1645"/>
      <c r="BU44" s="1645"/>
      <c r="BV44" s="1169"/>
      <c r="BW44" s="1169"/>
      <c r="BX44" s="1169"/>
      <c r="BY44" s="1169"/>
      <c r="BZ44" s="1169"/>
      <c r="CA44" s="1169"/>
      <c r="CB44" s="1169"/>
      <c r="CC44" s="1169"/>
      <c r="CD44" s="1169"/>
      <c r="CE44" s="1169"/>
      <c r="CF44" s="1859"/>
    </row>
    <row customHeight="1" ht="11.25" hidden="1">
      <c r="A45" s="1802"/>
      <c r="B45" s="1645"/>
      <c r="C45" s="1645"/>
      <c r="D45" s="2588"/>
      <c r="E45" s="644"/>
      <c r="F45" s="644">
        <v>0</v>
      </c>
      <c r="G45" s="644"/>
      <c r="H45" s="644"/>
      <c r="I45" s="644"/>
      <c r="J45" s="644"/>
      <c r="K45" s="644"/>
      <c r="L45" s="644"/>
      <c r="M45" s="644"/>
      <c r="N45" s="644"/>
      <c r="O45" s="644"/>
      <c r="P45" s="644"/>
      <c r="Q45" s="644"/>
      <c r="R45" s="644"/>
      <c r="S45" s="645"/>
      <c r="T45" s="727"/>
      <c r="U45" s="2383"/>
      <c r="V45" s="2383"/>
      <c r="W45" s="1645"/>
      <c r="X45" s="1645"/>
      <c r="Y45" s="1645"/>
      <c r="Z45" s="1645"/>
      <c r="AA45" s="1645"/>
      <c r="AB45" s="1169"/>
      <c r="AC45" s="2384"/>
      <c r="AD45" s="638"/>
      <c r="AE45" s="1169"/>
      <c r="AF45" s="1169"/>
      <c r="AG45" s="1645"/>
      <c r="AH45" s="1645"/>
      <c r="AI45" s="1645"/>
      <c r="AJ45" s="1645"/>
      <c r="AK45" s="1645"/>
      <c r="AL45" s="1645"/>
      <c r="AM45" s="1645"/>
      <c r="AN45" s="1645"/>
      <c r="AO45" s="1645"/>
      <c r="AP45" s="1645"/>
      <c r="AQ45" s="1645"/>
      <c r="AR45" s="1645"/>
      <c r="AS45" s="1645"/>
      <c r="AT45" s="1645"/>
      <c r="AU45" s="1645"/>
      <c r="AV45" s="1645"/>
      <c r="AW45" s="1645"/>
      <c r="AX45" s="1645"/>
      <c r="AY45" s="1645"/>
      <c r="AZ45" s="1645"/>
      <c r="BA45" s="1645"/>
      <c r="BB45" s="1645"/>
      <c r="BC45" s="1645"/>
      <c r="BD45" s="1645"/>
      <c r="BE45" s="1645"/>
      <c r="BF45" s="1645"/>
      <c r="BG45" s="1645"/>
      <c r="BH45" s="1645"/>
      <c r="BI45" s="1645"/>
      <c r="BJ45" s="1645"/>
      <c r="BK45" s="1645"/>
      <c r="BL45" s="1645"/>
      <c r="BM45" s="1645"/>
      <c r="BN45" s="1645"/>
      <c r="BO45" s="1645"/>
      <c r="BP45" s="1645"/>
      <c r="BQ45" s="1645"/>
      <c r="BR45" s="1645"/>
      <c r="BS45" s="1645"/>
      <c r="BT45" s="1645"/>
      <c r="BU45" s="1645"/>
      <c r="BV45" s="1645"/>
      <c r="BW45" s="1645"/>
      <c r="BX45" s="1645"/>
      <c r="BY45" s="1645"/>
      <c r="BZ45" s="1645"/>
      <c r="CA45" s="1645"/>
      <c r="CB45" s="1645"/>
      <c r="CC45" s="1645"/>
      <c r="CD45" s="1645"/>
      <c r="CE45" s="1645"/>
      <c r="CF45" s="1859"/>
    </row>
    <row customHeight="1" ht="11.25" hidden="1">
      <c r="A46" s="1815"/>
      <c r="B46" s="1169"/>
      <c r="C46" s="421"/>
      <c r="D46" s="2588"/>
      <c r="E46" s="658" t="s">
        <v>22</v>
      </c>
      <c r="F46" s="1177" t="s">
        <v>22</v>
      </c>
      <c r="G46" s="1177" t="s">
        <v>688</v>
      </c>
      <c r="H46" s="660" t="s">
        <v>22</v>
      </c>
      <c r="I46" s="660"/>
      <c r="J46" s="660"/>
      <c r="K46" s="660"/>
      <c r="L46" s="660"/>
      <c r="M46" s="660"/>
      <c r="N46" s="660"/>
      <c r="O46" s="660"/>
      <c r="P46" s="660"/>
      <c r="Q46" s="660"/>
      <c r="R46" s="661"/>
      <c r="S46" s="662"/>
      <c r="T46" s="727"/>
      <c r="U46" s="2383"/>
      <c r="V46" s="2383"/>
      <c r="W46" s="1169"/>
      <c r="X46" s="1169"/>
      <c r="Y46" s="1169"/>
      <c r="Z46" s="1169"/>
      <c r="AA46" s="1645"/>
      <c r="AB46" s="1169"/>
      <c r="AC46" s="2384"/>
      <c r="AD46" s="638"/>
      <c r="AE46" s="1169"/>
      <c r="AF46" s="1169"/>
      <c r="AG46" s="1645"/>
      <c r="AH46" s="1645"/>
      <c r="AI46" s="1645"/>
      <c r="AJ46" s="1645"/>
      <c r="AK46" s="1645"/>
      <c r="AL46" s="1645"/>
      <c r="AM46" s="1645"/>
      <c r="AN46" s="1645"/>
      <c r="AO46" s="1645"/>
      <c r="AP46" s="1645"/>
      <c r="AQ46" s="1645"/>
      <c r="AR46" s="1645"/>
      <c r="AS46" s="1645"/>
      <c r="AT46" s="1645"/>
      <c r="AU46" s="1645"/>
      <c r="AV46" s="1645"/>
      <c r="AW46" s="1645"/>
      <c r="AX46" s="1645"/>
      <c r="AY46" s="1645"/>
      <c r="AZ46" s="1645"/>
      <c r="BA46" s="1645"/>
      <c r="BB46" s="1645"/>
      <c r="BC46" s="1645"/>
      <c r="BD46" s="1645"/>
      <c r="BE46" s="1645"/>
      <c r="BF46" s="1645"/>
      <c r="BG46" s="1645"/>
      <c r="BH46" s="1645"/>
      <c r="BI46" s="1645"/>
      <c r="BJ46" s="1645"/>
      <c r="BK46" s="1645"/>
      <c r="BL46" s="1645"/>
      <c r="BM46" s="1645"/>
      <c r="BN46" s="1645"/>
      <c r="BO46" s="1645"/>
      <c r="BP46" s="1645"/>
      <c r="BQ46" s="1645"/>
      <c r="BR46" s="1645"/>
      <c r="BS46" s="1645"/>
      <c r="BT46" s="1645"/>
      <c r="BU46" s="1645"/>
      <c r="BV46" s="1169"/>
      <c r="BW46" s="1169"/>
      <c r="BX46" s="1169"/>
      <c r="BY46" s="1169"/>
      <c r="BZ46" s="1169"/>
      <c r="CA46" s="1169"/>
      <c r="CB46" s="1169"/>
      <c r="CC46" s="1169"/>
      <c r="CD46" s="1169"/>
      <c r="CE46" s="1169"/>
      <c r="CF46" s="1859"/>
    </row>
    <row customHeight="1" ht="5.25" hidden="1">
      <c r="A47" s="1802"/>
      <c r="B47" s="1645"/>
      <c r="C47" s="1645"/>
      <c r="D47" s="2588"/>
      <c r="E47" s="1048"/>
      <c r="F47" s="1048"/>
      <c r="G47" s="1048"/>
      <c r="H47" s="1048"/>
      <c r="I47" s="1048"/>
      <c r="J47" s="1048"/>
      <c r="K47" s="1048"/>
      <c r="L47" s="1048"/>
      <c r="M47" s="1048"/>
      <c r="N47" s="1048"/>
      <c r="O47" s="1048"/>
      <c r="P47" s="1048"/>
      <c r="Q47" s="1049"/>
      <c r="R47" s="1050"/>
      <c r="S47" s="1051"/>
      <c r="T47" s="726" t="s">
        <v>685</v>
      </c>
      <c r="U47" s="2383">
        <v>1</v>
      </c>
      <c r="V47" s="2383" t="s">
        <v>648</v>
      </c>
      <c r="W47" s="1645"/>
      <c r="X47" s="1645"/>
      <c r="Y47" s="1645"/>
      <c r="Z47" s="1645"/>
      <c r="AA47" s="1645"/>
      <c r="AB47" s="1645"/>
      <c r="AC47" s="1046"/>
      <c r="AD47" s="1047"/>
      <c r="AE47" s="1645"/>
      <c r="AF47" s="1645"/>
      <c r="AG47" s="1645"/>
      <c r="AH47" s="1645"/>
      <c r="AI47" s="1645"/>
      <c r="AJ47" s="1645"/>
      <c r="AK47" s="1645"/>
      <c r="AL47" s="1645"/>
      <c r="AM47" s="1645"/>
      <c r="AN47" s="1645"/>
      <c r="AO47" s="1645"/>
      <c r="AP47" s="1645"/>
      <c r="AQ47" s="1645"/>
      <c r="AR47" s="1645"/>
      <c r="AS47" s="1645"/>
      <c r="AT47" s="1645"/>
      <c r="AU47" s="1645"/>
      <c r="AV47" s="1645"/>
      <c r="AW47" s="1645"/>
      <c r="AX47" s="1645"/>
      <c r="AY47" s="1645"/>
      <c r="AZ47" s="1645"/>
      <c r="BA47" s="1645"/>
      <c r="BB47" s="1645"/>
      <c r="BC47" s="1645"/>
      <c r="BD47" s="1645"/>
      <c r="BE47" s="1645"/>
      <c r="BF47" s="1645"/>
      <c r="BG47" s="1645"/>
      <c r="BH47" s="1645"/>
      <c r="BI47" s="1645"/>
      <c r="BJ47" s="1645"/>
      <c r="BK47" s="1645"/>
      <c r="BL47" s="1645"/>
      <c r="BM47" s="1645"/>
      <c r="BN47" s="1645"/>
      <c r="BO47" s="1645"/>
      <c r="BP47" s="1645"/>
      <c r="BQ47" s="1645"/>
      <c r="BR47" s="1645"/>
      <c r="BS47" s="1645"/>
      <c r="BT47" s="1645"/>
      <c r="BU47" s="1645"/>
      <c r="BV47" s="1645"/>
      <c r="BW47" s="1645"/>
      <c r="BX47" s="1645"/>
      <c r="BY47" s="1645"/>
      <c r="BZ47" s="1645"/>
      <c r="CA47" s="1645"/>
      <c r="CB47" s="1645"/>
      <c r="CC47" s="1645"/>
      <c r="CD47" s="1645"/>
      <c r="CE47" s="1645"/>
      <c r="CF47" s="1325"/>
    </row>
    <row customHeight="1" ht="5.25" hidden="1">
      <c r="A48" s="1802"/>
      <c r="B48" s="1645"/>
      <c r="C48" s="1645"/>
      <c r="D48" s="2588"/>
      <c r="E48" s="644"/>
      <c r="F48" s="644"/>
      <c r="G48" s="644"/>
      <c r="H48" s="644"/>
      <c r="I48" s="644"/>
      <c r="J48" s="644"/>
      <c r="K48" s="644"/>
      <c r="L48" s="644"/>
      <c r="M48" s="644"/>
      <c r="N48" s="644"/>
      <c r="O48" s="644"/>
      <c r="P48" s="644"/>
      <c r="Q48" s="644"/>
      <c r="R48" s="644"/>
      <c r="S48" s="645"/>
      <c r="T48" s="727"/>
      <c r="U48" s="2383"/>
      <c r="V48" s="2383"/>
      <c r="W48" s="1645"/>
      <c r="X48" s="1645"/>
      <c r="Y48" s="1645"/>
      <c r="Z48" s="1645"/>
      <c r="AA48" s="1645"/>
      <c r="AB48" s="1645"/>
      <c r="AC48" s="1046"/>
      <c r="AD48" s="1047"/>
      <c r="AE48" s="1645"/>
      <c r="AF48" s="1645"/>
      <c r="AG48" s="1645"/>
      <c r="AH48" s="1645"/>
      <c r="AI48" s="1645"/>
      <c r="AJ48" s="1645"/>
      <c r="AK48" s="1645"/>
      <c r="AL48" s="1645"/>
      <c r="AM48" s="1645"/>
      <c r="AN48" s="1645"/>
      <c r="AO48" s="1645"/>
      <c r="AP48" s="1645"/>
      <c r="AQ48" s="1645"/>
      <c r="AR48" s="1645"/>
      <c r="AS48" s="1645"/>
      <c r="AT48" s="1645"/>
      <c r="AU48" s="1645"/>
      <c r="AV48" s="1645"/>
      <c r="AW48" s="1645"/>
      <c r="AX48" s="1645"/>
      <c r="AY48" s="1645"/>
      <c r="AZ48" s="1645"/>
      <c r="BA48" s="1645"/>
      <c r="BB48" s="1645"/>
      <c r="BC48" s="1645"/>
      <c r="BD48" s="1645"/>
      <c r="BE48" s="1645"/>
      <c r="BF48" s="1645"/>
      <c r="BG48" s="1645"/>
      <c r="BH48" s="1645"/>
      <c r="BI48" s="1645"/>
      <c r="BJ48" s="1645"/>
      <c r="BK48" s="1645"/>
      <c r="BL48" s="1645"/>
      <c r="BM48" s="1645"/>
      <c r="BN48" s="1645"/>
      <c r="BO48" s="1645"/>
      <c r="BP48" s="1645"/>
      <c r="BQ48" s="1645"/>
      <c r="BR48" s="1645"/>
      <c r="BS48" s="1645"/>
      <c r="BT48" s="1645"/>
      <c r="BU48" s="1645"/>
      <c r="BV48" s="1645"/>
      <c r="BW48" s="1645"/>
      <c r="BX48" s="1645"/>
      <c r="BY48" s="1645"/>
      <c r="BZ48" s="1645"/>
      <c r="CA48" s="1645"/>
      <c r="CB48" s="1645"/>
      <c r="CC48" s="1645"/>
      <c r="CD48" s="1645"/>
      <c r="CE48" s="1645"/>
      <c r="CF48" s="1325"/>
    </row>
    <row customHeight="1" ht="5.25" hidden="1">
      <c r="A49" s="1802"/>
      <c r="B49" s="1645"/>
      <c r="C49" s="1645"/>
      <c r="D49" s="2589"/>
      <c r="E49" s="1052"/>
      <c r="F49" s="1053"/>
      <c r="G49" s="1053"/>
      <c r="H49" s="1054"/>
      <c r="I49" s="1054"/>
      <c r="J49" s="1054"/>
      <c r="K49" s="1054"/>
      <c r="L49" s="1054"/>
      <c r="M49" s="1054"/>
      <c r="N49" s="1054"/>
      <c r="O49" s="1054"/>
      <c r="P49" s="1054"/>
      <c r="Q49" s="1054"/>
      <c r="R49" s="955"/>
      <c r="S49" s="1055"/>
      <c r="T49" s="727"/>
      <c r="U49" s="2383"/>
      <c r="V49" s="2383"/>
      <c r="W49" s="1645"/>
      <c r="X49" s="1645"/>
      <c r="Y49" s="1645"/>
      <c r="Z49" s="1645"/>
      <c r="AA49" s="1645"/>
      <c r="AB49" s="1645"/>
      <c r="AC49" s="1046"/>
      <c r="AD49" s="1047"/>
      <c r="AE49" s="1645"/>
      <c r="AF49" s="1645"/>
      <c r="AG49" s="1645"/>
      <c r="AH49" s="1645"/>
      <c r="AI49" s="1645"/>
      <c r="AJ49" s="1645"/>
      <c r="AK49" s="1645"/>
      <c r="AL49" s="1645"/>
      <c r="AM49" s="1645"/>
      <c r="AN49" s="1645"/>
      <c r="AO49" s="1645"/>
      <c r="AP49" s="1645"/>
      <c r="AQ49" s="1645"/>
      <c r="AR49" s="1645"/>
      <c r="AS49" s="1645"/>
      <c r="AT49" s="1645"/>
      <c r="AU49" s="1645"/>
      <c r="AV49" s="1645"/>
      <c r="AW49" s="1645"/>
      <c r="AX49" s="1645"/>
      <c r="AY49" s="1645"/>
      <c r="AZ49" s="1645"/>
      <c r="BA49" s="1645"/>
      <c r="BB49" s="1645"/>
      <c r="BC49" s="1645"/>
      <c r="BD49" s="1645"/>
      <c r="BE49" s="1645"/>
      <c r="BF49" s="1645"/>
      <c r="BG49" s="1645"/>
      <c r="BH49" s="1645"/>
      <c r="BI49" s="1645"/>
      <c r="BJ49" s="1645"/>
      <c r="BK49" s="1645"/>
      <c r="BL49" s="1645"/>
      <c r="BM49" s="1645"/>
      <c r="BN49" s="1645"/>
      <c r="BO49" s="1645"/>
      <c r="BP49" s="1645"/>
      <c r="BQ49" s="1645"/>
      <c r="BR49" s="1645"/>
      <c r="BS49" s="1645"/>
      <c r="BT49" s="1645"/>
      <c r="BU49" s="1645"/>
      <c r="BV49" s="1645"/>
      <c r="BW49" s="1645"/>
      <c r="BX49" s="1645"/>
      <c r="BY49" s="1645"/>
      <c r="BZ49" s="1645"/>
      <c r="CA49" s="1645"/>
      <c r="CB49" s="1645"/>
      <c r="CC49" s="1645"/>
      <c r="CD49" s="1645"/>
      <c r="CE49" s="1645"/>
      <c r="CF49" s="1325"/>
    </row>
    <row customHeight="1" ht="15" hidden="1">
      <c r="A50" s="632" t="s">
        <v>129</v>
      </c>
      <c r="B50" s="633"/>
      <c r="C50" s="633" t="s">
        <v>22</v>
      </c>
      <c r="D50" s="2587" t="s">
        <v>691</v>
      </c>
      <c r="E50" s="2386" t="s">
        <v>105</v>
      </c>
      <c r="F50" s="2387"/>
      <c r="G50" s="2388"/>
      <c r="H50" s="2392" t="str">
        <f>IF(A50="","",INDEX(DIFFERENTIATION_UNMERGE_VD,MATCH(A50,DIFFERENTIATION_ID_DIFF,0)))</f>
        <v>Производство тепловой энергии. Некомбинированная выработка</v>
      </c>
      <c r="I50" s="2392"/>
      <c r="J50" s="2392"/>
      <c r="K50" s="2392"/>
      <c r="L50" s="2392"/>
      <c r="M50" s="2392"/>
      <c r="N50" s="2392"/>
      <c r="O50" s="2392"/>
      <c r="P50" s="2392"/>
      <c r="Q50" s="2392"/>
      <c r="R50" s="2392"/>
      <c r="S50" s="728"/>
      <c r="T50" s="725"/>
      <c r="U50" s="634"/>
      <c r="V50" s="634"/>
      <c r="W50" s="635"/>
      <c r="X50" s="635"/>
      <c r="Y50" s="635"/>
      <c r="Z50" s="635"/>
      <c r="AA50" s="636"/>
      <c r="AB50" s="637"/>
      <c r="AC50" s="2384"/>
      <c r="AD50" s="638"/>
      <c r="AE50" s="639" t="s">
        <v>22</v>
      </c>
      <c r="AF50" s="639"/>
      <c r="AG50" s="640" t="s">
        <v>682</v>
      </c>
      <c r="AH50" s="641">
        <v>3</v>
      </c>
      <c r="AI50" s="634"/>
      <c r="AJ50" s="634"/>
      <c r="AK50" s="634"/>
      <c r="AL50" s="634"/>
      <c r="AM50" s="634"/>
      <c r="AN50" s="634"/>
      <c r="AO50" s="634"/>
      <c r="AP50" s="634"/>
      <c r="AQ50" s="634"/>
      <c r="AR50" s="634"/>
      <c r="AS50" s="634"/>
      <c r="AT50" s="634"/>
      <c r="AU50" s="634"/>
      <c r="AV50" s="634"/>
      <c r="AW50" s="634"/>
      <c r="AX50" s="634"/>
      <c r="AY50" s="634"/>
      <c r="AZ50" s="634"/>
      <c r="BA50" s="634"/>
      <c r="BB50" s="634"/>
      <c r="BC50" s="634"/>
      <c r="BD50" s="634"/>
      <c r="BE50" s="634"/>
      <c r="BF50" s="634"/>
      <c r="BG50" s="634"/>
      <c r="BH50" s="634"/>
      <c r="BI50" s="634"/>
      <c r="BJ50" s="634"/>
      <c r="BK50" s="634"/>
      <c r="BL50" s="634"/>
      <c r="BM50" s="634"/>
      <c r="BN50" s="634"/>
      <c r="BO50" s="634"/>
      <c r="BP50" s="634"/>
      <c r="BQ50" s="634"/>
      <c r="BR50" s="634"/>
      <c r="BS50" s="634"/>
      <c r="BT50" s="634"/>
      <c r="BU50" s="634"/>
      <c r="BV50" s="635"/>
      <c r="BW50" s="635"/>
      <c r="BX50" s="635"/>
      <c r="BY50" s="635"/>
      <c r="BZ50" s="635"/>
      <c r="CA50" s="635"/>
      <c r="CB50" s="635"/>
      <c r="CC50" s="635"/>
      <c r="CD50" s="635"/>
      <c r="CE50" s="635"/>
      <c r="CF50" s="1859"/>
    </row>
    <row customHeight="1" ht="15" hidden="1">
      <c r="A51" s="632"/>
      <c r="B51" s="633"/>
      <c r="C51" s="633"/>
      <c r="D51" s="2588"/>
      <c r="E51" s="2386" t="s">
        <v>637</v>
      </c>
      <c r="F51" s="2387"/>
      <c r="G51" s="2388"/>
      <c r="H51" s="2392" t="str">
        <f>IF(A50="","",INDEX(DIFFERENTIATION_UNMERGE_AREA,MATCH(A50,DIFFERENTIATION_ID_DIFF,0)))</f>
        <v>Территория 1</v>
      </c>
      <c r="I51" s="2392"/>
      <c r="J51" s="2392"/>
      <c r="K51" s="2392"/>
      <c r="L51" s="2392"/>
      <c r="M51" s="2392"/>
      <c r="N51" s="2392"/>
      <c r="O51" s="2392"/>
      <c r="P51" s="2392"/>
      <c r="Q51" s="2392"/>
      <c r="R51" s="2392"/>
      <c r="S51" s="728"/>
      <c r="T51" s="725"/>
      <c r="U51" s="634"/>
      <c r="V51" s="634"/>
      <c r="W51" s="635"/>
      <c r="X51" s="635"/>
      <c r="Y51" s="635"/>
      <c r="Z51" s="635"/>
      <c r="AA51" s="636"/>
      <c r="AB51" s="637"/>
      <c r="AC51" s="2384"/>
      <c r="AD51" s="638"/>
      <c r="AE51" s="639"/>
      <c r="AF51" s="639"/>
      <c r="AG51" s="640"/>
      <c r="AH51" s="641"/>
      <c r="AI51" s="634"/>
      <c r="AJ51" s="634"/>
      <c r="AK51" s="634"/>
      <c r="AL51" s="634"/>
      <c r="AM51" s="634"/>
      <c r="AN51" s="634"/>
      <c r="AO51" s="634"/>
      <c r="AP51" s="634"/>
      <c r="AQ51" s="634"/>
      <c r="AR51" s="634"/>
      <c r="AS51" s="634"/>
      <c r="AT51" s="634"/>
      <c r="AU51" s="634"/>
      <c r="AV51" s="634"/>
      <c r="AW51" s="634"/>
      <c r="AX51" s="634"/>
      <c r="AY51" s="634"/>
      <c r="AZ51" s="634"/>
      <c r="BA51" s="634"/>
      <c r="BB51" s="634"/>
      <c r="BC51" s="634"/>
      <c r="BD51" s="634"/>
      <c r="BE51" s="634"/>
      <c r="BF51" s="634"/>
      <c r="BG51" s="634"/>
      <c r="BH51" s="634"/>
      <c r="BI51" s="634"/>
      <c r="BJ51" s="634"/>
      <c r="BK51" s="634"/>
      <c r="BL51" s="634"/>
      <c r="BM51" s="634"/>
      <c r="BN51" s="634"/>
      <c r="BO51" s="634"/>
      <c r="BP51" s="634"/>
      <c r="BQ51" s="634"/>
      <c r="BR51" s="634"/>
      <c r="BS51" s="634"/>
      <c r="BT51" s="634"/>
      <c r="BU51" s="634"/>
      <c r="BV51" s="635"/>
      <c r="BW51" s="635"/>
      <c r="BX51" s="635"/>
      <c r="BY51" s="635"/>
      <c r="BZ51" s="635"/>
      <c r="CA51" s="635"/>
      <c r="CB51" s="635"/>
      <c r="CC51" s="635"/>
      <c r="CD51" s="635"/>
      <c r="CE51" s="635"/>
      <c r="CF51" s="1859"/>
    </row>
    <row customHeight="1" ht="15" hidden="1">
      <c r="A52" s="632"/>
      <c r="B52" s="633"/>
      <c r="C52" s="633"/>
      <c r="D52" s="2588"/>
      <c r="E52" s="2386" t="s">
        <v>638</v>
      </c>
      <c r="F52" s="2387"/>
      <c r="G52" s="2388"/>
      <c r="H52" s="2392" t="str">
        <f>IF(A50="","",INDEX(DIFFERENTIATION_UNMERGE_SYSTEM,MATCH(A50,DIFFERENTIATION_ID_DIFF,0)))</f>
        <v>Котельная №5, Александр. Поле, около д.30 по ул.Советская </v>
      </c>
      <c r="I52" s="2392"/>
      <c r="J52" s="2392"/>
      <c r="K52" s="2392"/>
      <c r="L52" s="2392"/>
      <c r="M52" s="2392"/>
      <c r="N52" s="2392"/>
      <c r="O52" s="2392"/>
      <c r="P52" s="2392"/>
      <c r="Q52" s="2392"/>
      <c r="R52" s="2392"/>
      <c r="S52" s="728"/>
      <c r="T52" s="725"/>
      <c r="U52" s="634"/>
      <c r="V52" s="634"/>
      <c r="W52" s="635"/>
      <c r="X52" s="635"/>
      <c r="Y52" s="635"/>
      <c r="Z52" s="635"/>
      <c r="AA52" s="636"/>
      <c r="AB52" s="637"/>
      <c r="AC52" s="2384"/>
      <c r="AD52" s="638"/>
      <c r="AE52" s="639"/>
      <c r="AF52" s="639"/>
      <c r="AG52" s="640"/>
      <c r="AH52" s="641"/>
      <c r="AI52" s="634"/>
      <c r="AJ52" s="634"/>
      <c r="AK52" s="634"/>
      <c r="AL52" s="634"/>
      <c r="AM52" s="634"/>
      <c r="AN52" s="634"/>
      <c r="AO52" s="634"/>
      <c r="AP52" s="634"/>
      <c r="AQ52" s="634"/>
      <c r="AR52" s="634"/>
      <c r="AS52" s="634"/>
      <c r="AT52" s="634"/>
      <c r="AU52" s="634"/>
      <c r="AV52" s="634"/>
      <c r="AW52" s="634"/>
      <c r="AX52" s="634"/>
      <c r="AY52" s="634"/>
      <c r="AZ52" s="634"/>
      <c r="BA52" s="634"/>
      <c r="BB52" s="634"/>
      <c r="BC52" s="634"/>
      <c r="BD52" s="634"/>
      <c r="BE52" s="634"/>
      <c r="BF52" s="634"/>
      <c r="BG52" s="634"/>
      <c r="BH52" s="634"/>
      <c r="BI52" s="634"/>
      <c r="BJ52" s="634"/>
      <c r="BK52" s="634"/>
      <c r="BL52" s="634"/>
      <c r="BM52" s="634"/>
      <c r="BN52" s="634"/>
      <c r="BO52" s="634"/>
      <c r="BP52" s="634"/>
      <c r="BQ52" s="634"/>
      <c r="BR52" s="634"/>
      <c r="BS52" s="634"/>
      <c r="BT52" s="634"/>
      <c r="BU52" s="634"/>
      <c r="BV52" s="635"/>
      <c r="BW52" s="635"/>
      <c r="BX52" s="635"/>
      <c r="BY52" s="635"/>
      <c r="BZ52" s="635"/>
      <c r="CA52" s="635"/>
      <c r="CB52" s="635"/>
      <c r="CC52" s="635"/>
      <c r="CD52" s="635"/>
      <c r="CE52" s="635"/>
      <c r="CF52" s="1859"/>
    </row>
    <row customHeight="1" ht="24.75" hidden="1">
      <c r="A53" s="1815"/>
      <c r="B53" s="1169"/>
      <c r="C53" s="421"/>
      <c r="D53" s="2588"/>
      <c r="E53" s="2385" t="s">
        <v>683</v>
      </c>
      <c r="F53" s="2385"/>
      <c r="G53" s="2385"/>
      <c r="H53" s="2385"/>
      <c r="I53" s="2385"/>
      <c r="J53" s="2385"/>
      <c r="K53" s="2385"/>
      <c r="L53" s="2385"/>
      <c r="M53" s="2385"/>
      <c r="N53" s="2385"/>
      <c r="O53" s="2385"/>
      <c r="P53" s="2385"/>
      <c r="Q53" s="567">
        <f>SUMIF(T54:T55,"i",Q54:Q55)</f>
        <v>0</v>
      </c>
      <c r="R53" s="1026"/>
      <c r="S53" s="1807" t="s">
        <v>684</v>
      </c>
      <c r="T53" s="726" t="s">
        <v>685</v>
      </c>
      <c r="U53" s="2383">
        <v>1</v>
      </c>
      <c r="V53" s="2383" t="s">
        <v>648</v>
      </c>
      <c r="W53" s="1169"/>
      <c r="X53" s="1169"/>
      <c r="Y53" s="1169"/>
      <c r="Z53" s="1169"/>
      <c r="AA53" s="1645"/>
      <c r="AB53" s="1169"/>
      <c r="AC53" s="2384"/>
      <c r="AD53" s="638"/>
      <c r="AE53" s="1169"/>
      <c r="AF53" s="1169"/>
      <c r="AG53" s="1645"/>
      <c r="AH53" s="1645"/>
      <c r="AI53" s="1645"/>
      <c r="AJ53" s="1645"/>
      <c r="AK53" s="1645"/>
      <c r="AL53" s="1645"/>
      <c r="AM53" s="1645"/>
      <c r="AN53" s="1645"/>
      <c r="AO53" s="1645"/>
      <c r="AP53" s="1645"/>
      <c r="AQ53" s="1645"/>
      <c r="AR53" s="1645"/>
      <c r="AS53" s="1645"/>
      <c r="AT53" s="1645"/>
      <c r="AU53" s="1645"/>
      <c r="AV53" s="1645"/>
      <c r="AW53" s="1645"/>
      <c r="AX53" s="1645"/>
      <c r="AY53" s="1645"/>
      <c r="AZ53" s="1645"/>
      <c r="BA53" s="1645"/>
      <c r="BB53" s="1645"/>
      <c r="BC53" s="1645"/>
      <c r="BD53" s="1645"/>
      <c r="BE53" s="1645"/>
      <c r="BF53" s="1645"/>
      <c r="BG53" s="1645"/>
      <c r="BH53" s="1645"/>
      <c r="BI53" s="1645"/>
      <c r="BJ53" s="1645"/>
      <c r="BK53" s="1645"/>
      <c r="BL53" s="1645"/>
      <c r="BM53" s="1645"/>
      <c r="BN53" s="1645"/>
      <c r="BO53" s="1645"/>
      <c r="BP53" s="1645"/>
      <c r="BQ53" s="1645"/>
      <c r="BR53" s="1645"/>
      <c r="BS53" s="1645"/>
      <c r="BT53" s="1645"/>
      <c r="BU53" s="1645"/>
      <c r="BV53" s="1169"/>
      <c r="BW53" s="1169"/>
      <c r="BX53" s="1169"/>
      <c r="BY53" s="1169"/>
      <c r="BZ53" s="1169"/>
      <c r="CA53" s="1169"/>
      <c r="CB53" s="1169"/>
      <c r="CC53" s="1169"/>
      <c r="CD53" s="1169"/>
      <c r="CE53" s="1169"/>
      <c r="CF53" s="1859"/>
    </row>
    <row customHeight="1" ht="11.25" hidden="1">
      <c r="A54" s="1802"/>
      <c r="B54" s="1645"/>
      <c r="C54" s="1645"/>
      <c r="D54" s="2588"/>
      <c r="E54" s="644"/>
      <c r="F54" s="644">
        <v>0</v>
      </c>
      <c r="G54" s="644"/>
      <c r="H54" s="644"/>
      <c r="I54" s="644"/>
      <c r="J54" s="644"/>
      <c r="K54" s="644"/>
      <c r="L54" s="644"/>
      <c r="M54" s="644"/>
      <c r="N54" s="644"/>
      <c r="O54" s="644"/>
      <c r="P54" s="644"/>
      <c r="Q54" s="644"/>
      <c r="R54" s="644"/>
      <c r="S54" s="645"/>
      <c r="T54" s="727"/>
      <c r="U54" s="2383"/>
      <c r="V54" s="2383"/>
      <c r="W54" s="1645"/>
      <c r="X54" s="1645"/>
      <c r="Y54" s="1645"/>
      <c r="Z54" s="1645"/>
      <c r="AA54" s="1645"/>
      <c r="AB54" s="1169"/>
      <c r="AC54" s="2384"/>
      <c r="AD54" s="638"/>
      <c r="AE54" s="1169"/>
      <c r="AF54" s="1169"/>
      <c r="AG54" s="1645"/>
      <c r="AH54" s="1645"/>
      <c r="AI54" s="1645"/>
      <c r="AJ54" s="1645"/>
      <c r="AK54" s="1645"/>
      <c r="AL54" s="1645"/>
      <c r="AM54" s="1645"/>
      <c r="AN54" s="1645"/>
      <c r="AO54" s="1645"/>
      <c r="AP54" s="1645"/>
      <c r="AQ54" s="1645"/>
      <c r="AR54" s="1645"/>
      <c r="AS54" s="1645"/>
      <c r="AT54" s="1645"/>
      <c r="AU54" s="1645"/>
      <c r="AV54" s="1645"/>
      <c r="AW54" s="1645"/>
      <c r="AX54" s="1645"/>
      <c r="AY54" s="1645"/>
      <c r="AZ54" s="1645"/>
      <c r="BA54" s="1645"/>
      <c r="BB54" s="1645"/>
      <c r="BC54" s="1645"/>
      <c r="BD54" s="1645"/>
      <c r="BE54" s="1645"/>
      <c r="BF54" s="1645"/>
      <c r="BG54" s="1645"/>
      <c r="BH54" s="1645"/>
      <c r="BI54" s="1645"/>
      <c r="BJ54" s="1645"/>
      <c r="BK54" s="1645"/>
      <c r="BL54" s="1645"/>
      <c r="BM54" s="1645"/>
      <c r="BN54" s="1645"/>
      <c r="BO54" s="1645"/>
      <c r="BP54" s="1645"/>
      <c r="BQ54" s="1645"/>
      <c r="BR54" s="1645"/>
      <c r="BS54" s="1645"/>
      <c r="BT54" s="1645"/>
      <c r="BU54" s="1645"/>
      <c r="BV54" s="1645"/>
      <c r="BW54" s="1645"/>
      <c r="BX54" s="1645"/>
      <c r="BY54" s="1645"/>
      <c r="BZ54" s="1645"/>
      <c r="CA54" s="1645"/>
      <c r="CB54" s="1645"/>
      <c r="CC54" s="1645"/>
      <c r="CD54" s="1645"/>
      <c r="CE54" s="1645"/>
      <c r="CF54" s="1859"/>
    </row>
    <row customHeight="1" ht="11.25" hidden="1">
      <c r="A55" s="1815"/>
      <c r="B55" s="1169"/>
      <c r="C55" s="421"/>
      <c r="D55" s="2588"/>
      <c r="E55" s="658" t="s">
        <v>22</v>
      </c>
      <c r="F55" s="1177" t="s">
        <v>22</v>
      </c>
      <c r="G55" s="1177" t="s">
        <v>688</v>
      </c>
      <c r="H55" s="660" t="s">
        <v>22</v>
      </c>
      <c r="I55" s="660"/>
      <c r="J55" s="660"/>
      <c r="K55" s="660"/>
      <c r="L55" s="660"/>
      <c r="M55" s="660"/>
      <c r="N55" s="660"/>
      <c r="O55" s="660"/>
      <c r="P55" s="660"/>
      <c r="Q55" s="660"/>
      <c r="R55" s="661"/>
      <c r="S55" s="662"/>
      <c r="T55" s="727"/>
      <c r="U55" s="2383"/>
      <c r="V55" s="2383"/>
      <c r="W55" s="1169"/>
      <c r="X55" s="1169"/>
      <c r="Y55" s="1169"/>
      <c r="Z55" s="1169"/>
      <c r="AA55" s="1645"/>
      <c r="AB55" s="1169"/>
      <c r="AC55" s="2384"/>
      <c r="AD55" s="638"/>
      <c r="AE55" s="1169"/>
      <c r="AF55" s="1169"/>
      <c r="AG55" s="1645"/>
      <c r="AH55" s="1645"/>
      <c r="AI55" s="1645"/>
      <c r="AJ55" s="1645"/>
      <c r="AK55" s="1645"/>
      <c r="AL55" s="1645"/>
      <c r="AM55" s="1645"/>
      <c r="AN55" s="1645"/>
      <c r="AO55" s="1645"/>
      <c r="AP55" s="1645"/>
      <c r="AQ55" s="1645"/>
      <c r="AR55" s="1645"/>
      <c r="AS55" s="1645"/>
      <c r="AT55" s="1645"/>
      <c r="AU55" s="1645"/>
      <c r="AV55" s="1645"/>
      <c r="AW55" s="1645"/>
      <c r="AX55" s="1645"/>
      <c r="AY55" s="1645"/>
      <c r="AZ55" s="1645"/>
      <c r="BA55" s="1645"/>
      <c r="BB55" s="1645"/>
      <c r="BC55" s="1645"/>
      <c r="BD55" s="1645"/>
      <c r="BE55" s="1645"/>
      <c r="BF55" s="1645"/>
      <c r="BG55" s="1645"/>
      <c r="BH55" s="1645"/>
      <c r="BI55" s="1645"/>
      <c r="BJ55" s="1645"/>
      <c r="BK55" s="1645"/>
      <c r="BL55" s="1645"/>
      <c r="BM55" s="1645"/>
      <c r="BN55" s="1645"/>
      <c r="BO55" s="1645"/>
      <c r="BP55" s="1645"/>
      <c r="BQ55" s="1645"/>
      <c r="BR55" s="1645"/>
      <c r="BS55" s="1645"/>
      <c r="BT55" s="1645"/>
      <c r="BU55" s="1645"/>
      <c r="BV55" s="1169"/>
      <c r="BW55" s="1169"/>
      <c r="BX55" s="1169"/>
      <c r="BY55" s="1169"/>
      <c r="BZ55" s="1169"/>
      <c r="CA55" s="1169"/>
      <c r="CB55" s="1169"/>
      <c r="CC55" s="1169"/>
      <c r="CD55" s="1169"/>
      <c r="CE55" s="1169"/>
      <c r="CF55" s="1859"/>
    </row>
    <row customHeight="1" ht="5.25" hidden="1">
      <c r="A56" s="1802"/>
      <c r="B56" s="1645"/>
      <c r="C56" s="1645"/>
      <c r="D56" s="2588"/>
      <c r="E56" s="1048"/>
      <c r="F56" s="1048"/>
      <c r="G56" s="1048"/>
      <c r="H56" s="1048"/>
      <c r="I56" s="1048"/>
      <c r="J56" s="1048"/>
      <c r="K56" s="1048"/>
      <c r="L56" s="1048"/>
      <c r="M56" s="1048"/>
      <c r="N56" s="1048"/>
      <c r="O56" s="1048"/>
      <c r="P56" s="1048"/>
      <c r="Q56" s="1049"/>
      <c r="R56" s="1050"/>
      <c r="S56" s="1051"/>
      <c r="T56" s="726" t="s">
        <v>685</v>
      </c>
      <c r="U56" s="2383">
        <v>1</v>
      </c>
      <c r="V56" s="2383" t="s">
        <v>648</v>
      </c>
      <c r="W56" s="1645"/>
      <c r="X56" s="1645"/>
      <c r="Y56" s="1645"/>
      <c r="Z56" s="1645"/>
      <c r="AA56" s="1645"/>
      <c r="AB56" s="1645"/>
      <c r="AC56" s="1046"/>
      <c r="AD56" s="1047"/>
      <c r="AE56" s="1645"/>
      <c r="AF56" s="1645"/>
      <c r="AG56" s="1645"/>
      <c r="AH56" s="1645"/>
      <c r="AI56" s="1645"/>
      <c r="AJ56" s="1645"/>
      <c r="AK56" s="1645"/>
      <c r="AL56" s="1645"/>
      <c r="AM56" s="1645"/>
      <c r="AN56" s="1645"/>
      <c r="AO56" s="1645"/>
      <c r="AP56" s="1645"/>
      <c r="AQ56" s="1645"/>
      <c r="AR56" s="1645"/>
      <c r="AS56" s="1645"/>
      <c r="AT56" s="1645"/>
      <c r="AU56" s="1645"/>
      <c r="AV56" s="1645"/>
      <c r="AW56" s="1645"/>
      <c r="AX56" s="1645"/>
      <c r="AY56" s="1645"/>
      <c r="AZ56" s="1645"/>
      <c r="BA56" s="1645"/>
      <c r="BB56" s="1645"/>
      <c r="BC56" s="1645"/>
      <c r="BD56" s="1645"/>
      <c r="BE56" s="1645"/>
      <c r="BF56" s="1645"/>
      <c r="BG56" s="1645"/>
      <c r="BH56" s="1645"/>
      <c r="BI56" s="1645"/>
      <c r="BJ56" s="1645"/>
      <c r="BK56" s="1645"/>
      <c r="BL56" s="1645"/>
      <c r="BM56" s="1645"/>
      <c r="BN56" s="1645"/>
      <c r="BO56" s="1645"/>
      <c r="BP56" s="1645"/>
      <c r="BQ56" s="1645"/>
      <c r="BR56" s="1645"/>
      <c r="BS56" s="1645"/>
      <c r="BT56" s="1645"/>
      <c r="BU56" s="1645"/>
      <c r="BV56" s="1645"/>
      <c r="BW56" s="1645"/>
      <c r="BX56" s="1645"/>
      <c r="BY56" s="1645"/>
      <c r="BZ56" s="1645"/>
      <c r="CA56" s="1645"/>
      <c r="CB56" s="1645"/>
      <c r="CC56" s="1645"/>
      <c r="CD56" s="1645"/>
      <c r="CE56" s="1645"/>
      <c r="CF56" s="1325"/>
    </row>
    <row customHeight="1" ht="5.25" hidden="1">
      <c r="A57" s="1802"/>
      <c r="B57" s="1645"/>
      <c r="C57" s="1645"/>
      <c r="D57" s="2588"/>
      <c r="E57" s="644"/>
      <c r="F57" s="644"/>
      <c r="G57" s="644"/>
      <c r="H57" s="644"/>
      <c r="I57" s="644"/>
      <c r="J57" s="644"/>
      <c r="K57" s="644"/>
      <c r="L57" s="644"/>
      <c r="M57" s="644"/>
      <c r="N57" s="644"/>
      <c r="O57" s="644"/>
      <c r="P57" s="644"/>
      <c r="Q57" s="644"/>
      <c r="R57" s="644"/>
      <c r="S57" s="645"/>
      <c r="T57" s="727"/>
      <c r="U57" s="2383"/>
      <c r="V57" s="2383"/>
      <c r="W57" s="1645"/>
      <c r="X57" s="1645"/>
      <c r="Y57" s="1645"/>
      <c r="Z57" s="1645"/>
      <c r="AA57" s="1645"/>
      <c r="AB57" s="1645"/>
      <c r="AC57" s="1046"/>
      <c r="AD57" s="1047"/>
      <c r="AE57" s="1645"/>
      <c r="AF57" s="1645"/>
      <c r="AG57" s="1645"/>
      <c r="AH57" s="1645"/>
      <c r="AI57" s="1645"/>
      <c r="AJ57" s="1645"/>
      <c r="AK57" s="1645"/>
      <c r="AL57" s="1645"/>
      <c r="AM57" s="1645"/>
      <c r="AN57" s="1645"/>
      <c r="AO57" s="1645"/>
      <c r="AP57" s="1645"/>
      <c r="AQ57" s="1645"/>
      <c r="AR57" s="1645"/>
      <c r="AS57" s="1645"/>
      <c r="AT57" s="1645"/>
      <c r="AU57" s="1645"/>
      <c r="AV57" s="1645"/>
      <c r="AW57" s="1645"/>
      <c r="AX57" s="1645"/>
      <c r="AY57" s="1645"/>
      <c r="AZ57" s="1645"/>
      <c r="BA57" s="1645"/>
      <c r="BB57" s="1645"/>
      <c r="BC57" s="1645"/>
      <c r="BD57" s="1645"/>
      <c r="BE57" s="1645"/>
      <c r="BF57" s="1645"/>
      <c r="BG57" s="1645"/>
      <c r="BH57" s="1645"/>
      <c r="BI57" s="1645"/>
      <c r="BJ57" s="1645"/>
      <c r="BK57" s="1645"/>
      <c r="BL57" s="1645"/>
      <c r="BM57" s="1645"/>
      <c r="BN57" s="1645"/>
      <c r="BO57" s="1645"/>
      <c r="BP57" s="1645"/>
      <c r="BQ57" s="1645"/>
      <c r="BR57" s="1645"/>
      <c r="BS57" s="1645"/>
      <c r="BT57" s="1645"/>
      <c r="BU57" s="1645"/>
      <c r="BV57" s="1645"/>
      <c r="BW57" s="1645"/>
      <c r="BX57" s="1645"/>
      <c r="BY57" s="1645"/>
      <c r="BZ57" s="1645"/>
      <c r="CA57" s="1645"/>
      <c r="CB57" s="1645"/>
      <c r="CC57" s="1645"/>
      <c r="CD57" s="1645"/>
      <c r="CE57" s="1645"/>
      <c r="CF57" s="1325"/>
    </row>
    <row customHeight="1" ht="5.25" hidden="1">
      <c r="A58" s="1802"/>
      <c r="B58" s="1645"/>
      <c r="C58" s="1645"/>
      <c r="D58" s="2589"/>
      <c r="E58" s="1052"/>
      <c r="F58" s="1053"/>
      <c r="G58" s="1053"/>
      <c r="H58" s="1054"/>
      <c r="I58" s="1054"/>
      <c r="J58" s="1054"/>
      <c r="K58" s="1054"/>
      <c r="L58" s="1054"/>
      <c r="M58" s="1054"/>
      <c r="N58" s="1054"/>
      <c r="O58" s="1054"/>
      <c r="P58" s="1054"/>
      <c r="Q58" s="1054"/>
      <c r="R58" s="955"/>
      <c r="S58" s="1055"/>
      <c r="T58" s="727"/>
      <c r="U58" s="2383"/>
      <c r="V58" s="2383"/>
      <c r="W58" s="1645"/>
      <c r="X58" s="1645"/>
      <c r="Y58" s="1645"/>
      <c r="Z58" s="1645"/>
      <c r="AA58" s="1645"/>
      <c r="AB58" s="1645"/>
      <c r="AC58" s="1046"/>
      <c r="AD58" s="1047"/>
      <c r="AE58" s="1645"/>
      <c r="AF58" s="1645"/>
      <c r="AG58" s="1645"/>
      <c r="AH58" s="1645"/>
      <c r="AI58" s="1645"/>
      <c r="AJ58" s="1645"/>
      <c r="AK58" s="1645"/>
      <c r="AL58" s="1645"/>
      <c r="AM58" s="1645"/>
      <c r="AN58" s="1645"/>
      <c r="AO58" s="1645"/>
      <c r="AP58" s="1645"/>
      <c r="AQ58" s="1645"/>
      <c r="AR58" s="1645"/>
      <c r="AS58" s="1645"/>
      <c r="AT58" s="1645"/>
      <c r="AU58" s="1645"/>
      <c r="AV58" s="1645"/>
      <c r="AW58" s="1645"/>
      <c r="AX58" s="1645"/>
      <c r="AY58" s="1645"/>
      <c r="AZ58" s="1645"/>
      <c r="BA58" s="1645"/>
      <c r="BB58" s="1645"/>
      <c r="BC58" s="1645"/>
      <c r="BD58" s="1645"/>
      <c r="BE58" s="1645"/>
      <c r="BF58" s="1645"/>
      <c r="BG58" s="1645"/>
      <c r="BH58" s="1645"/>
      <c r="BI58" s="1645"/>
      <c r="BJ58" s="1645"/>
      <c r="BK58" s="1645"/>
      <c r="BL58" s="1645"/>
      <c r="BM58" s="1645"/>
      <c r="BN58" s="1645"/>
      <c r="BO58" s="1645"/>
      <c r="BP58" s="1645"/>
      <c r="BQ58" s="1645"/>
      <c r="BR58" s="1645"/>
      <c r="BS58" s="1645"/>
      <c r="BT58" s="1645"/>
      <c r="BU58" s="1645"/>
      <c r="BV58" s="1645"/>
      <c r="BW58" s="1645"/>
      <c r="BX58" s="1645"/>
      <c r="BY58" s="1645"/>
      <c r="BZ58" s="1645"/>
      <c r="CA58" s="1645"/>
      <c r="CB58" s="1645"/>
      <c r="CC58" s="1645"/>
      <c r="CD58" s="1645"/>
      <c r="CE58" s="1645"/>
      <c r="CF58" s="1325"/>
    </row>
    <row customHeight="1" ht="15" hidden="1">
      <c r="A59" s="632" t="s">
        <v>131</v>
      </c>
      <c r="B59" s="633"/>
      <c r="C59" s="633" t="s">
        <v>22</v>
      </c>
      <c r="D59" s="2587" t="s">
        <v>692</v>
      </c>
      <c r="E59" s="2386" t="s">
        <v>105</v>
      </c>
      <c r="F59" s="2387"/>
      <c r="G59" s="2388"/>
      <c r="H59" s="2392" t="str">
        <f>IF(A59="","",INDEX(DIFFERENTIATION_UNMERGE_VD,MATCH(A59,DIFFERENTIATION_ID_DIFF,0)))</f>
        <v>Производство тепловой энергии. Некомбинированная выработка</v>
      </c>
      <c r="I59" s="2392"/>
      <c r="J59" s="2392"/>
      <c r="K59" s="2392"/>
      <c r="L59" s="2392"/>
      <c r="M59" s="2392"/>
      <c r="N59" s="2392"/>
      <c r="O59" s="2392"/>
      <c r="P59" s="2392"/>
      <c r="Q59" s="2392"/>
      <c r="R59" s="2392"/>
      <c r="S59" s="728"/>
      <c r="T59" s="725"/>
      <c r="U59" s="634"/>
      <c r="V59" s="634"/>
      <c r="W59" s="635"/>
      <c r="X59" s="635"/>
      <c r="Y59" s="635"/>
      <c r="Z59" s="635"/>
      <c r="AA59" s="636"/>
      <c r="AB59" s="637"/>
      <c r="AC59" s="2384"/>
      <c r="AD59" s="638"/>
      <c r="AE59" s="639" t="s">
        <v>22</v>
      </c>
      <c r="AF59" s="639"/>
      <c r="AG59" s="640" t="s">
        <v>682</v>
      </c>
      <c r="AH59" s="641">
        <v>3</v>
      </c>
      <c r="AI59" s="634"/>
      <c r="AJ59" s="634"/>
      <c r="AK59" s="634"/>
      <c r="AL59" s="634"/>
      <c r="AM59" s="634"/>
      <c r="AN59" s="634"/>
      <c r="AO59" s="634"/>
      <c r="AP59" s="634"/>
      <c r="AQ59" s="634"/>
      <c r="AR59" s="634"/>
      <c r="AS59" s="634"/>
      <c r="AT59" s="634"/>
      <c r="AU59" s="634"/>
      <c r="AV59" s="634"/>
      <c r="AW59" s="634"/>
      <c r="AX59" s="634"/>
      <c r="AY59" s="634"/>
      <c r="AZ59" s="634"/>
      <c r="BA59" s="634"/>
      <c r="BB59" s="634"/>
      <c r="BC59" s="634"/>
      <c r="BD59" s="634"/>
      <c r="BE59" s="634"/>
      <c r="BF59" s="634"/>
      <c r="BG59" s="634"/>
      <c r="BH59" s="634"/>
      <c r="BI59" s="634"/>
      <c r="BJ59" s="634"/>
      <c r="BK59" s="634"/>
      <c r="BL59" s="634"/>
      <c r="BM59" s="634"/>
      <c r="BN59" s="634"/>
      <c r="BO59" s="634"/>
      <c r="BP59" s="634"/>
      <c r="BQ59" s="634"/>
      <c r="BR59" s="634"/>
      <c r="BS59" s="634"/>
      <c r="BT59" s="634"/>
      <c r="BU59" s="634"/>
      <c r="BV59" s="635"/>
      <c r="BW59" s="635"/>
      <c r="BX59" s="635"/>
      <c r="BY59" s="635"/>
      <c r="BZ59" s="635"/>
      <c r="CA59" s="635"/>
      <c r="CB59" s="635"/>
      <c r="CC59" s="635"/>
      <c r="CD59" s="635"/>
      <c r="CE59" s="635"/>
      <c r="CF59" s="1859"/>
    </row>
    <row customHeight="1" ht="15" hidden="1">
      <c r="A60" s="632"/>
      <c r="B60" s="633"/>
      <c r="C60" s="633"/>
      <c r="D60" s="2588"/>
      <c r="E60" s="2386" t="s">
        <v>637</v>
      </c>
      <c r="F60" s="2387"/>
      <c r="G60" s="2388"/>
      <c r="H60" s="2392" t="str">
        <f>IF(A59="","",INDEX(DIFFERENTIATION_UNMERGE_AREA,MATCH(A59,DIFFERENTIATION_ID_DIFF,0)))</f>
        <v>Территория 1</v>
      </c>
      <c r="I60" s="2392"/>
      <c r="J60" s="2392"/>
      <c r="K60" s="2392"/>
      <c r="L60" s="2392"/>
      <c r="M60" s="2392"/>
      <c r="N60" s="2392"/>
      <c r="O60" s="2392"/>
      <c r="P60" s="2392"/>
      <c r="Q60" s="2392"/>
      <c r="R60" s="2392"/>
      <c r="S60" s="728"/>
      <c r="T60" s="725"/>
      <c r="U60" s="634"/>
      <c r="V60" s="634"/>
      <c r="W60" s="635"/>
      <c r="X60" s="635"/>
      <c r="Y60" s="635"/>
      <c r="Z60" s="635"/>
      <c r="AA60" s="636"/>
      <c r="AB60" s="637"/>
      <c r="AC60" s="2384"/>
      <c r="AD60" s="638"/>
      <c r="AE60" s="639"/>
      <c r="AF60" s="639"/>
      <c r="AG60" s="640"/>
      <c r="AH60" s="641"/>
      <c r="AI60" s="634"/>
      <c r="AJ60" s="634"/>
      <c r="AK60" s="634"/>
      <c r="AL60" s="634"/>
      <c r="AM60" s="634"/>
      <c r="AN60" s="634"/>
      <c r="AO60" s="634"/>
      <c r="AP60" s="634"/>
      <c r="AQ60" s="634"/>
      <c r="AR60" s="634"/>
      <c r="AS60" s="634"/>
      <c r="AT60" s="634"/>
      <c r="AU60" s="634"/>
      <c r="AV60" s="634"/>
      <c r="AW60" s="634"/>
      <c r="AX60" s="634"/>
      <c r="AY60" s="634"/>
      <c r="AZ60" s="634"/>
      <c r="BA60" s="634"/>
      <c r="BB60" s="634"/>
      <c r="BC60" s="634"/>
      <c r="BD60" s="634"/>
      <c r="BE60" s="634"/>
      <c r="BF60" s="634"/>
      <c r="BG60" s="634"/>
      <c r="BH60" s="634"/>
      <c r="BI60" s="634"/>
      <c r="BJ60" s="634"/>
      <c r="BK60" s="634"/>
      <c r="BL60" s="634"/>
      <c r="BM60" s="634"/>
      <c r="BN60" s="634"/>
      <c r="BO60" s="634"/>
      <c r="BP60" s="634"/>
      <c r="BQ60" s="634"/>
      <c r="BR60" s="634"/>
      <c r="BS60" s="634"/>
      <c r="BT60" s="634"/>
      <c r="BU60" s="634"/>
      <c r="BV60" s="635"/>
      <c r="BW60" s="635"/>
      <c r="BX60" s="635"/>
      <c r="BY60" s="635"/>
      <c r="BZ60" s="635"/>
      <c r="CA60" s="635"/>
      <c r="CB60" s="635"/>
      <c r="CC60" s="635"/>
      <c r="CD60" s="635"/>
      <c r="CE60" s="635"/>
      <c r="CF60" s="1859"/>
    </row>
    <row customHeight="1" ht="15" hidden="1">
      <c r="A61" s="632"/>
      <c r="B61" s="633"/>
      <c r="C61" s="633"/>
      <c r="D61" s="2588"/>
      <c r="E61" s="2386" t="s">
        <v>638</v>
      </c>
      <c r="F61" s="2387"/>
      <c r="G61" s="2388"/>
      <c r="H61" s="2392" t="str">
        <f>IF(A59="","",INDEX(DIFFERENTIATION_UNMERGE_SYSTEM,MATCH(A59,DIFFERENTIATION_ID_DIFF,0)))</f>
        <v>Котельная №6, ул.Пушкина </v>
      </c>
      <c r="I61" s="2392"/>
      <c r="J61" s="2392"/>
      <c r="K61" s="2392"/>
      <c r="L61" s="2392"/>
      <c r="M61" s="2392"/>
      <c r="N61" s="2392"/>
      <c r="O61" s="2392"/>
      <c r="P61" s="2392"/>
      <c r="Q61" s="2392"/>
      <c r="R61" s="2392"/>
      <c r="S61" s="728"/>
      <c r="T61" s="725"/>
      <c r="U61" s="634"/>
      <c r="V61" s="634"/>
      <c r="W61" s="635"/>
      <c r="X61" s="635"/>
      <c r="Y61" s="635"/>
      <c r="Z61" s="635"/>
      <c r="AA61" s="636"/>
      <c r="AB61" s="637"/>
      <c r="AC61" s="2384"/>
      <c r="AD61" s="638"/>
      <c r="AE61" s="639"/>
      <c r="AF61" s="639"/>
      <c r="AG61" s="640"/>
      <c r="AH61" s="641"/>
      <c r="AI61" s="634"/>
      <c r="AJ61" s="634"/>
      <c r="AK61" s="634"/>
      <c r="AL61" s="634"/>
      <c r="AM61" s="634"/>
      <c r="AN61" s="634"/>
      <c r="AO61" s="634"/>
      <c r="AP61" s="634"/>
      <c r="AQ61" s="634"/>
      <c r="AR61" s="634"/>
      <c r="AS61" s="634"/>
      <c r="AT61" s="634"/>
      <c r="AU61" s="634"/>
      <c r="AV61" s="634"/>
      <c r="AW61" s="634"/>
      <c r="AX61" s="634"/>
      <c r="AY61" s="634"/>
      <c r="AZ61" s="634"/>
      <c r="BA61" s="634"/>
      <c r="BB61" s="634"/>
      <c r="BC61" s="634"/>
      <c r="BD61" s="634"/>
      <c r="BE61" s="634"/>
      <c r="BF61" s="634"/>
      <c r="BG61" s="634"/>
      <c r="BH61" s="634"/>
      <c r="BI61" s="634"/>
      <c r="BJ61" s="634"/>
      <c r="BK61" s="634"/>
      <c r="BL61" s="634"/>
      <c r="BM61" s="634"/>
      <c r="BN61" s="634"/>
      <c r="BO61" s="634"/>
      <c r="BP61" s="634"/>
      <c r="BQ61" s="634"/>
      <c r="BR61" s="634"/>
      <c r="BS61" s="634"/>
      <c r="BT61" s="634"/>
      <c r="BU61" s="634"/>
      <c r="BV61" s="635"/>
      <c r="BW61" s="635"/>
      <c r="BX61" s="635"/>
      <c r="BY61" s="635"/>
      <c r="BZ61" s="635"/>
      <c r="CA61" s="635"/>
      <c r="CB61" s="635"/>
      <c r="CC61" s="635"/>
      <c r="CD61" s="635"/>
      <c r="CE61" s="635"/>
      <c r="CF61" s="1859"/>
    </row>
    <row customHeight="1" ht="24.75" hidden="1">
      <c r="A62" s="1815"/>
      <c r="B62" s="1169"/>
      <c r="C62" s="421"/>
      <c r="D62" s="2588"/>
      <c r="E62" s="2385" t="s">
        <v>683</v>
      </c>
      <c r="F62" s="2385"/>
      <c r="G62" s="2385"/>
      <c r="H62" s="2385"/>
      <c r="I62" s="2385"/>
      <c r="J62" s="2385"/>
      <c r="K62" s="2385"/>
      <c r="L62" s="2385"/>
      <c r="M62" s="2385"/>
      <c r="N62" s="2385"/>
      <c r="O62" s="2385"/>
      <c r="P62" s="2385"/>
      <c r="Q62" s="567">
        <f>SUMIF(T63:T64,"i",Q63:Q64)</f>
        <v>0</v>
      </c>
      <c r="R62" s="1026"/>
      <c r="S62" s="1807" t="s">
        <v>684</v>
      </c>
      <c r="T62" s="726" t="s">
        <v>685</v>
      </c>
      <c r="U62" s="2383">
        <v>1</v>
      </c>
      <c r="V62" s="2383" t="s">
        <v>648</v>
      </c>
      <c r="W62" s="1169"/>
      <c r="X62" s="1169"/>
      <c r="Y62" s="1169"/>
      <c r="Z62" s="1169"/>
      <c r="AA62" s="1645"/>
      <c r="AB62" s="1169"/>
      <c r="AC62" s="2384"/>
      <c r="AD62" s="638"/>
      <c r="AE62" s="1169"/>
      <c r="AF62" s="1169"/>
      <c r="AG62" s="1645"/>
      <c r="AH62" s="1645"/>
      <c r="AI62" s="1645"/>
      <c r="AJ62" s="1645"/>
      <c r="AK62" s="1645"/>
      <c r="AL62" s="1645"/>
      <c r="AM62" s="1645"/>
      <c r="AN62" s="1645"/>
      <c r="AO62" s="1645"/>
      <c r="AP62" s="1645"/>
      <c r="AQ62" s="1645"/>
      <c r="AR62" s="1645"/>
      <c r="AS62" s="1645"/>
      <c r="AT62" s="1645"/>
      <c r="AU62" s="1645"/>
      <c r="AV62" s="1645"/>
      <c r="AW62" s="1645"/>
      <c r="AX62" s="1645"/>
      <c r="AY62" s="1645"/>
      <c r="AZ62" s="1645"/>
      <c r="BA62" s="1645"/>
      <c r="BB62" s="1645"/>
      <c r="BC62" s="1645"/>
      <c r="BD62" s="1645"/>
      <c r="BE62" s="1645"/>
      <c r="BF62" s="1645"/>
      <c r="BG62" s="1645"/>
      <c r="BH62" s="1645"/>
      <c r="BI62" s="1645"/>
      <c r="BJ62" s="1645"/>
      <c r="BK62" s="1645"/>
      <c r="BL62" s="1645"/>
      <c r="BM62" s="1645"/>
      <c r="BN62" s="1645"/>
      <c r="BO62" s="1645"/>
      <c r="BP62" s="1645"/>
      <c r="BQ62" s="1645"/>
      <c r="BR62" s="1645"/>
      <c r="BS62" s="1645"/>
      <c r="BT62" s="1645"/>
      <c r="BU62" s="1645"/>
      <c r="BV62" s="1169"/>
      <c r="BW62" s="1169"/>
      <c r="BX62" s="1169"/>
      <c r="BY62" s="1169"/>
      <c r="BZ62" s="1169"/>
      <c r="CA62" s="1169"/>
      <c r="CB62" s="1169"/>
      <c r="CC62" s="1169"/>
      <c r="CD62" s="1169"/>
      <c r="CE62" s="1169"/>
      <c r="CF62" s="1859"/>
    </row>
    <row customHeight="1" ht="11.25" hidden="1">
      <c r="A63" s="1802"/>
      <c r="B63" s="1645"/>
      <c r="C63" s="1645"/>
      <c r="D63" s="2588"/>
      <c r="E63" s="644"/>
      <c r="F63" s="644">
        <v>0</v>
      </c>
      <c r="G63" s="644"/>
      <c r="H63" s="644"/>
      <c r="I63" s="644"/>
      <c r="J63" s="644"/>
      <c r="K63" s="644"/>
      <c r="L63" s="644"/>
      <c r="M63" s="644"/>
      <c r="N63" s="644"/>
      <c r="O63" s="644"/>
      <c r="P63" s="644"/>
      <c r="Q63" s="644"/>
      <c r="R63" s="644"/>
      <c r="S63" s="645"/>
      <c r="T63" s="727"/>
      <c r="U63" s="2383"/>
      <c r="V63" s="2383"/>
      <c r="W63" s="1645"/>
      <c r="X63" s="1645"/>
      <c r="Y63" s="1645"/>
      <c r="Z63" s="1645"/>
      <c r="AA63" s="1645"/>
      <c r="AB63" s="1169"/>
      <c r="AC63" s="2384"/>
      <c r="AD63" s="638"/>
      <c r="AE63" s="1169"/>
      <c r="AF63" s="1169"/>
      <c r="AG63" s="1645"/>
      <c r="AH63" s="1645"/>
      <c r="AI63" s="1645"/>
      <c r="AJ63" s="1645"/>
      <c r="AK63" s="1645"/>
      <c r="AL63" s="1645"/>
      <c r="AM63" s="1645"/>
      <c r="AN63" s="1645"/>
      <c r="AO63" s="1645"/>
      <c r="AP63" s="1645"/>
      <c r="AQ63" s="1645"/>
      <c r="AR63" s="1645"/>
      <c r="AS63" s="1645"/>
      <c r="AT63" s="1645"/>
      <c r="AU63" s="1645"/>
      <c r="AV63" s="1645"/>
      <c r="AW63" s="1645"/>
      <c r="AX63" s="1645"/>
      <c r="AY63" s="1645"/>
      <c r="AZ63" s="1645"/>
      <c r="BA63" s="1645"/>
      <c r="BB63" s="1645"/>
      <c r="BC63" s="1645"/>
      <c r="BD63" s="1645"/>
      <c r="BE63" s="1645"/>
      <c r="BF63" s="1645"/>
      <c r="BG63" s="1645"/>
      <c r="BH63" s="1645"/>
      <c r="BI63" s="1645"/>
      <c r="BJ63" s="1645"/>
      <c r="BK63" s="1645"/>
      <c r="BL63" s="1645"/>
      <c r="BM63" s="1645"/>
      <c r="BN63" s="1645"/>
      <c r="BO63" s="1645"/>
      <c r="BP63" s="1645"/>
      <c r="BQ63" s="1645"/>
      <c r="BR63" s="1645"/>
      <c r="BS63" s="1645"/>
      <c r="BT63" s="1645"/>
      <c r="BU63" s="1645"/>
      <c r="BV63" s="1645"/>
      <c r="BW63" s="1645"/>
      <c r="BX63" s="1645"/>
      <c r="BY63" s="1645"/>
      <c r="BZ63" s="1645"/>
      <c r="CA63" s="1645"/>
      <c r="CB63" s="1645"/>
      <c r="CC63" s="1645"/>
      <c r="CD63" s="1645"/>
      <c r="CE63" s="1645"/>
      <c r="CF63" s="1859"/>
    </row>
    <row customHeight="1" ht="11.25" hidden="1">
      <c r="A64" s="1815"/>
      <c r="B64" s="1169"/>
      <c r="C64" s="421"/>
      <c r="D64" s="2588"/>
      <c r="E64" s="658" t="s">
        <v>22</v>
      </c>
      <c r="F64" s="1177" t="s">
        <v>22</v>
      </c>
      <c r="G64" s="1177" t="s">
        <v>688</v>
      </c>
      <c r="H64" s="660" t="s">
        <v>22</v>
      </c>
      <c r="I64" s="660"/>
      <c r="J64" s="660"/>
      <c r="K64" s="660"/>
      <c r="L64" s="660"/>
      <c r="M64" s="660"/>
      <c r="N64" s="660"/>
      <c r="O64" s="660"/>
      <c r="P64" s="660"/>
      <c r="Q64" s="660"/>
      <c r="R64" s="661"/>
      <c r="S64" s="662"/>
      <c r="T64" s="727"/>
      <c r="U64" s="2383"/>
      <c r="V64" s="2383"/>
      <c r="W64" s="1169"/>
      <c r="X64" s="1169"/>
      <c r="Y64" s="1169"/>
      <c r="Z64" s="1169"/>
      <c r="AA64" s="1645"/>
      <c r="AB64" s="1169"/>
      <c r="AC64" s="2384"/>
      <c r="AD64" s="638"/>
      <c r="AE64" s="1169"/>
      <c r="AF64" s="1169"/>
      <c r="AG64" s="1645"/>
      <c r="AH64" s="1645"/>
      <c r="AI64" s="1645"/>
      <c r="AJ64" s="1645"/>
      <c r="AK64" s="1645"/>
      <c r="AL64" s="1645"/>
      <c r="AM64" s="1645"/>
      <c r="AN64" s="1645"/>
      <c r="AO64" s="1645"/>
      <c r="AP64" s="1645"/>
      <c r="AQ64" s="1645"/>
      <c r="AR64" s="1645"/>
      <c r="AS64" s="1645"/>
      <c r="AT64" s="1645"/>
      <c r="AU64" s="1645"/>
      <c r="AV64" s="1645"/>
      <c r="AW64" s="1645"/>
      <c r="AX64" s="1645"/>
      <c r="AY64" s="1645"/>
      <c r="AZ64" s="1645"/>
      <c r="BA64" s="1645"/>
      <c r="BB64" s="1645"/>
      <c r="BC64" s="1645"/>
      <c r="BD64" s="1645"/>
      <c r="BE64" s="1645"/>
      <c r="BF64" s="1645"/>
      <c r="BG64" s="1645"/>
      <c r="BH64" s="1645"/>
      <c r="BI64" s="1645"/>
      <c r="BJ64" s="1645"/>
      <c r="BK64" s="1645"/>
      <c r="BL64" s="1645"/>
      <c r="BM64" s="1645"/>
      <c r="BN64" s="1645"/>
      <c r="BO64" s="1645"/>
      <c r="BP64" s="1645"/>
      <c r="BQ64" s="1645"/>
      <c r="BR64" s="1645"/>
      <c r="BS64" s="1645"/>
      <c r="BT64" s="1645"/>
      <c r="BU64" s="1645"/>
      <c r="BV64" s="1169"/>
      <c r="BW64" s="1169"/>
      <c r="BX64" s="1169"/>
      <c r="BY64" s="1169"/>
      <c r="BZ64" s="1169"/>
      <c r="CA64" s="1169"/>
      <c r="CB64" s="1169"/>
      <c r="CC64" s="1169"/>
      <c r="CD64" s="1169"/>
      <c r="CE64" s="1169"/>
      <c r="CF64" s="1859"/>
    </row>
    <row customHeight="1" ht="5.25" hidden="1">
      <c r="A65" s="1802"/>
      <c r="B65" s="1645"/>
      <c r="C65" s="1645"/>
      <c r="D65" s="2588"/>
      <c r="E65" s="1048"/>
      <c r="F65" s="1048"/>
      <c r="G65" s="1048"/>
      <c r="H65" s="1048"/>
      <c r="I65" s="1048"/>
      <c r="J65" s="1048"/>
      <c r="K65" s="1048"/>
      <c r="L65" s="1048"/>
      <c r="M65" s="1048"/>
      <c r="N65" s="1048"/>
      <c r="O65" s="1048"/>
      <c r="P65" s="1048"/>
      <c r="Q65" s="1049"/>
      <c r="R65" s="1050"/>
      <c r="S65" s="1051"/>
      <c r="T65" s="726" t="s">
        <v>685</v>
      </c>
      <c r="U65" s="2383">
        <v>1</v>
      </c>
      <c r="V65" s="2383" t="s">
        <v>648</v>
      </c>
      <c r="W65" s="1645"/>
      <c r="X65" s="1645"/>
      <c r="Y65" s="1645"/>
      <c r="Z65" s="1645"/>
      <c r="AA65" s="1645"/>
      <c r="AB65" s="1645"/>
      <c r="AC65" s="1046"/>
      <c r="AD65" s="1047"/>
      <c r="AE65" s="1645"/>
      <c r="AF65" s="1645"/>
      <c r="AG65" s="1645"/>
      <c r="AH65" s="1645"/>
      <c r="AI65" s="1645"/>
      <c r="AJ65" s="1645"/>
      <c r="AK65" s="1645"/>
      <c r="AL65" s="1645"/>
      <c r="AM65" s="1645"/>
      <c r="AN65" s="1645"/>
      <c r="AO65" s="1645"/>
      <c r="AP65" s="1645"/>
      <c r="AQ65" s="1645"/>
      <c r="AR65" s="1645"/>
      <c r="AS65" s="1645"/>
      <c r="AT65" s="1645"/>
      <c r="AU65" s="1645"/>
      <c r="AV65" s="1645"/>
      <c r="AW65" s="1645"/>
      <c r="AX65" s="1645"/>
      <c r="AY65" s="1645"/>
      <c r="AZ65" s="1645"/>
      <c r="BA65" s="1645"/>
      <c r="BB65" s="1645"/>
      <c r="BC65" s="1645"/>
      <c r="BD65" s="1645"/>
      <c r="BE65" s="1645"/>
      <c r="BF65" s="1645"/>
      <c r="BG65" s="1645"/>
      <c r="BH65" s="1645"/>
      <c r="BI65" s="1645"/>
      <c r="BJ65" s="1645"/>
      <c r="BK65" s="1645"/>
      <c r="BL65" s="1645"/>
      <c r="BM65" s="1645"/>
      <c r="BN65" s="1645"/>
      <c r="BO65" s="1645"/>
      <c r="BP65" s="1645"/>
      <c r="BQ65" s="1645"/>
      <c r="BR65" s="1645"/>
      <c r="BS65" s="1645"/>
      <c r="BT65" s="1645"/>
      <c r="BU65" s="1645"/>
      <c r="BV65" s="1645"/>
      <c r="BW65" s="1645"/>
      <c r="BX65" s="1645"/>
      <c r="BY65" s="1645"/>
      <c r="BZ65" s="1645"/>
      <c r="CA65" s="1645"/>
      <c r="CB65" s="1645"/>
      <c r="CC65" s="1645"/>
      <c r="CD65" s="1645"/>
      <c r="CE65" s="1645"/>
      <c r="CF65" s="1325"/>
    </row>
    <row customHeight="1" ht="5.25" hidden="1">
      <c r="A66" s="1802"/>
      <c r="B66" s="1645"/>
      <c r="C66" s="1645"/>
      <c r="D66" s="2588"/>
      <c r="E66" s="644"/>
      <c r="F66" s="644"/>
      <c r="G66" s="644"/>
      <c r="H66" s="644"/>
      <c r="I66" s="644"/>
      <c r="J66" s="644"/>
      <c r="K66" s="644"/>
      <c r="L66" s="644"/>
      <c r="M66" s="644"/>
      <c r="N66" s="644"/>
      <c r="O66" s="644"/>
      <c r="P66" s="644"/>
      <c r="Q66" s="644"/>
      <c r="R66" s="644"/>
      <c r="S66" s="645"/>
      <c r="T66" s="727"/>
      <c r="U66" s="2383"/>
      <c r="V66" s="2383"/>
      <c r="W66" s="1645"/>
      <c r="X66" s="1645"/>
      <c r="Y66" s="1645"/>
      <c r="Z66" s="1645"/>
      <c r="AA66" s="1645"/>
      <c r="AB66" s="1645"/>
      <c r="AC66" s="1046"/>
      <c r="AD66" s="1047"/>
      <c r="AE66" s="1645"/>
      <c r="AF66" s="1645"/>
      <c r="AG66" s="1645"/>
      <c r="AH66" s="1645"/>
      <c r="AI66" s="1645"/>
      <c r="AJ66" s="1645"/>
      <c r="AK66" s="1645"/>
      <c r="AL66" s="1645"/>
      <c r="AM66" s="1645"/>
      <c r="AN66" s="1645"/>
      <c r="AO66" s="1645"/>
      <c r="AP66" s="1645"/>
      <c r="AQ66" s="1645"/>
      <c r="AR66" s="1645"/>
      <c r="AS66" s="1645"/>
      <c r="AT66" s="1645"/>
      <c r="AU66" s="1645"/>
      <c r="AV66" s="1645"/>
      <c r="AW66" s="1645"/>
      <c r="AX66" s="1645"/>
      <c r="AY66" s="1645"/>
      <c r="AZ66" s="1645"/>
      <c r="BA66" s="1645"/>
      <c r="BB66" s="1645"/>
      <c r="BC66" s="1645"/>
      <c r="BD66" s="1645"/>
      <c r="BE66" s="1645"/>
      <c r="BF66" s="1645"/>
      <c r="BG66" s="1645"/>
      <c r="BH66" s="1645"/>
      <c r="BI66" s="1645"/>
      <c r="BJ66" s="1645"/>
      <c r="BK66" s="1645"/>
      <c r="BL66" s="1645"/>
      <c r="BM66" s="1645"/>
      <c r="BN66" s="1645"/>
      <c r="BO66" s="1645"/>
      <c r="BP66" s="1645"/>
      <c r="BQ66" s="1645"/>
      <c r="BR66" s="1645"/>
      <c r="BS66" s="1645"/>
      <c r="BT66" s="1645"/>
      <c r="BU66" s="1645"/>
      <c r="BV66" s="1645"/>
      <c r="BW66" s="1645"/>
      <c r="BX66" s="1645"/>
      <c r="BY66" s="1645"/>
      <c r="BZ66" s="1645"/>
      <c r="CA66" s="1645"/>
      <c r="CB66" s="1645"/>
      <c r="CC66" s="1645"/>
      <c r="CD66" s="1645"/>
      <c r="CE66" s="1645"/>
      <c r="CF66" s="1325"/>
    </row>
    <row customHeight="1" ht="5.25" hidden="1">
      <c r="A67" s="1802"/>
      <c r="B67" s="1645"/>
      <c r="C67" s="1645"/>
      <c r="D67" s="2589"/>
      <c r="E67" s="1052"/>
      <c r="F67" s="1053"/>
      <c r="G67" s="1053"/>
      <c r="H67" s="1054"/>
      <c r="I67" s="1054"/>
      <c r="J67" s="1054"/>
      <c r="K67" s="1054"/>
      <c r="L67" s="1054"/>
      <c r="M67" s="1054"/>
      <c r="N67" s="1054"/>
      <c r="O67" s="1054"/>
      <c r="P67" s="1054"/>
      <c r="Q67" s="1054"/>
      <c r="R67" s="955"/>
      <c r="S67" s="1055"/>
      <c r="T67" s="727"/>
      <c r="U67" s="2383"/>
      <c r="V67" s="2383"/>
      <c r="W67" s="1645"/>
      <c r="X67" s="1645"/>
      <c r="Y67" s="1645"/>
      <c r="Z67" s="1645"/>
      <c r="AA67" s="1645"/>
      <c r="AB67" s="1645"/>
      <c r="AC67" s="1046"/>
      <c r="AD67" s="1047"/>
      <c r="AE67" s="1645"/>
      <c r="AF67" s="1645"/>
      <c r="AG67" s="1645"/>
      <c r="AH67" s="1645"/>
      <c r="AI67" s="1645"/>
      <c r="AJ67" s="1645"/>
      <c r="AK67" s="1645"/>
      <c r="AL67" s="1645"/>
      <c r="AM67" s="1645"/>
      <c r="AN67" s="1645"/>
      <c r="AO67" s="1645"/>
      <c r="AP67" s="1645"/>
      <c r="AQ67" s="1645"/>
      <c r="AR67" s="1645"/>
      <c r="AS67" s="1645"/>
      <c r="AT67" s="1645"/>
      <c r="AU67" s="1645"/>
      <c r="AV67" s="1645"/>
      <c r="AW67" s="1645"/>
      <c r="AX67" s="1645"/>
      <c r="AY67" s="1645"/>
      <c r="AZ67" s="1645"/>
      <c r="BA67" s="1645"/>
      <c r="BB67" s="1645"/>
      <c r="BC67" s="1645"/>
      <c r="BD67" s="1645"/>
      <c r="BE67" s="1645"/>
      <c r="BF67" s="1645"/>
      <c r="BG67" s="1645"/>
      <c r="BH67" s="1645"/>
      <c r="BI67" s="1645"/>
      <c r="BJ67" s="1645"/>
      <c r="BK67" s="1645"/>
      <c r="BL67" s="1645"/>
      <c r="BM67" s="1645"/>
      <c r="BN67" s="1645"/>
      <c r="BO67" s="1645"/>
      <c r="BP67" s="1645"/>
      <c r="BQ67" s="1645"/>
      <c r="BR67" s="1645"/>
      <c r="BS67" s="1645"/>
      <c r="BT67" s="1645"/>
      <c r="BU67" s="1645"/>
      <c r="BV67" s="1645"/>
      <c r="BW67" s="1645"/>
      <c r="BX67" s="1645"/>
      <c r="BY67" s="1645"/>
      <c r="BZ67" s="1645"/>
      <c r="CA67" s="1645"/>
      <c r="CB67" s="1645"/>
      <c r="CC67" s="1645"/>
      <c r="CD67" s="1645"/>
      <c r="CE67" s="1645"/>
      <c r="CF67" s="1325"/>
    </row>
    <row customHeight="1" ht="15" hidden="1">
      <c r="A68" s="632" t="s">
        <v>133</v>
      </c>
      <c r="B68" s="633"/>
      <c r="C68" s="633" t="s">
        <v>22</v>
      </c>
      <c r="D68" s="2587" t="s">
        <v>693</v>
      </c>
      <c r="E68" s="2386" t="s">
        <v>105</v>
      </c>
      <c r="F68" s="2387"/>
      <c r="G68" s="2388"/>
      <c r="H68" s="2392" t="str">
        <f>IF(A68="","",INDEX(DIFFERENTIATION_UNMERGE_VD,MATCH(A68,DIFFERENTIATION_ID_DIFF,0)))</f>
        <v>Производство тепловой энергии. Некомбинированная выработка</v>
      </c>
      <c r="I68" s="2392"/>
      <c r="J68" s="2392"/>
      <c r="K68" s="2392"/>
      <c r="L68" s="2392"/>
      <c r="M68" s="2392"/>
      <c r="N68" s="2392"/>
      <c r="O68" s="2392"/>
      <c r="P68" s="2392"/>
      <c r="Q68" s="2392"/>
      <c r="R68" s="2392"/>
      <c r="S68" s="728"/>
      <c r="T68" s="725"/>
      <c r="U68" s="634"/>
      <c r="V68" s="634"/>
      <c r="W68" s="635"/>
      <c r="X68" s="635"/>
      <c r="Y68" s="635"/>
      <c r="Z68" s="635"/>
      <c r="AA68" s="636"/>
      <c r="AB68" s="637"/>
      <c r="AC68" s="2384"/>
      <c r="AD68" s="638"/>
      <c r="AE68" s="639" t="s">
        <v>22</v>
      </c>
      <c r="AF68" s="639"/>
      <c r="AG68" s="640" t="s">
        <v>682</v>
      </c>
      <c r="AH68" s="641">
        <v>3</v>
      </c>
      <c r="AI68" s="634"/>
      <c r="AJ68" s="634"/>
      <c r="AK68" s="634"/>
      <c r="AL68" s="634"/>
      <c r="AM68" s="634"/>
      <c r="AN68" s="634"/>
      <c r="AO68" s="634"/>
      <c r="AP68" s="634"/>
      <c r="AQ68" s="634"/>
      <c r="AR68" s="634"/>
      <c r="AS68" s="634"/>
      <c r="AT68" s="634"/>
      <c r="AU68" s="634"/>
      <c r="AV68" s="634"/>
      <c r="AW68" s="634"/>
      <c r="AX68" s="634"/>
      <c r="AY68" s="634"/>
      <c r="AZ68" s="634"/>
      <c r="BA68" s="634"/>
      <c r="BB68" s="634"/>
      <c r="BC68" s="634"/>
      <c r="BD68" s="634"/>
      <c r="BE68" s="634"/>
      <c r="BF68" s="634"/>
      <c r="BG68" s="634"/>
      <c r="BH68" s="634"/>
      <c r="BI68" s="634"/>
      <c r="BJ68" s="634"/>
      <c r="BK68" s="634"/>
      <c r="BL68" s="634"/>
      <c r="BM68" s="634"/>
      <c r="BN68" s="634"/>
      <c r="BO68" s="634"/>
      <c r="BP68" s="634"/>
      <c r="BQ68" s="634"/>
      <c r="BR68" s="634"/>
      <c r="BS68" s="634"/>
      <c r="BT68" s="634"/>
      <c r="BU68" s="634"/>
      <c r="BV68" s="635"/>
      <c r="BW68" s="635"/>
      <c r="BX68" s="635"/>
      <c r="BY68" s="635"/>
      <c r="BZ68" s="635"/>
      <c r="CA68" s="635"/>
      <c r="CB68" s="635"/>
      <c r="CC68" s="635"/>
      <c r="CD68" s="635"/>
      <c r="CE68" s="635"/>
      <c r="CF68" s="1859"/>
    </row>
    <row customHeight="1" ht="15" hidden="1">
      <c r="A69" s="632"/>
      <c r="B69" s="633"/>
      <c r="C69" s="633"/>
      <c r="D69" s="2588"/>
      <c r="E69" s="2386" t="s">
        <v>637</v>
      </c>
      <c r="F69" s="2387"/>
      <c r="G69" s="2388"/>
      <c r="H69" s="2392" t="str">
        <f>IF(A68="","",INDEX(DIFFERENTIATION_UNMERGE_AREA,MATCH(A68,DIFFERENTIATION_ID_DIFF,0)))</f>
        <v>Территория 1</v>
      </c>
      <c r="I69" s="2392"/>
      <c r="J69" s="2392"/>
      <c r="K69" s="2392"/>
      <c r="L69" s="2392"/>
      <c r="M69" s="2392"/>
      <c r="N69" s="2392"/>
      <c r="O69" s="2392"/>
      <c r="P69" s="2392"/>
      <c r="Q69" s="2392"/>
      <c r="R69" s="2392"/>
      <c r="S69" s="728"/>
      <c r="T69" s="725"/>
      <c r="U69" s="634"/>
      <c r="V69" s="634"/>
      <c r="W69" s="635"/>
      <c r="X69" s="635"/>
      <c r="Y69" s="635"/>
      <c r="Z69" s="635"/>
      <c r="AA69" s="636"/>
      <c r="AB69" s="637"/>
      <c r="AC69" s="2384"/>
      <c r="AD69" s="638"/>
      <c r="AE69" s="639"/>
      <c r="AF69" s="639"/>
      <c r="AG69" s="640"/>
      <c r="AH69" s="641"/>
      <c r="AI69" s="634"/>
      <c r="AJ69" s="634"/>
      <c r="AK69" s="634"/>
      <c r="AL69" s="634"/>
      <c r="AM69" s="634"/>
      <c r="AN69" s="634"/>
      <c r="AO69" s="634"/>
      <c r="AP69" s="634"/>
      <c r="AQ69" s="634"/>
      <c r="AR69" s="634"/>
      <c r="AS69" s="634"/>
      <c r="AT69" s="634"/>
      <c r="AU69" s="634"/>
      <c r="AV69" s="634"/>
      <c r="AW69" s="634"/>
      <c r="AX69" s="634"/>
      <c r="AY69" s="634"/>
      <c r="AZ69" s="634"/>
      <c r="BA69" s="634"/>
      <c r="BB69" s="634"/>
      <c r="BC69" s="634"/>
      <c r="BD69" s="634"/>
      <c r="BE69" s="634"/>
      <c r="BF69" s="634"/>
      <c r="BG69" s="634"/>
      <c r="BH69" s="634"/>
      <c r="BI69" s="634"/>
      <c r="BJ69" s="634"/>
      <c r="BK69" s="634"/>
      <c r="BL69" s="634"/>
      <c r="BM69" s="634"/>
      <c r="BN69" s="634"/>
      <c r="BO69" s="634"/>
      <c r="BP69" s="634"/>
      <c r="BQ69" s="634"/>
      <c r="BR69" s="634"/>
      <c r="BS69" s="634"/>
      <c r="BT69" s="634"/>
      <c r="BU69" s="634"/>
      <c r="BV69" s="635"/>
      <c r="BW69" s="635"/>
      <c r="BX69" s="635"/>
      <c r="BY69" s="635"/>
      <c r="BZ69" s="635"/>
      <c r="CA69" s="635"/>
      <c r="CB69" s="635"/>
      <c r="CC69" s="635"/>
      <c r="CD69" s="635"/>
      <c r="CE69" s="635"/>
      <c r="CF69" s="1859"/>
    </row>
    <row customHeight="1" ht="15" hidden="1">
      <c r="A70" s="632"/>
      <c r="B70" s="633"/>
      <c r="C70" s="633"/>
      <c r="D70" s="2588"/>
      <c r="E70" s="2386" t="s">
        <v>638</v>
      </c>
      <c r="F70" s="2387"/>
      <c r="G70" s="2388"/>
      <c r="H70" s="2392" t="str">
        <f>IF(A68="","",INDEX(DIFFERENTIATION_UNMERGE_SYSTEM,MATCH(A68,DIFFERENTIATION_ID_DIFF,0)))</f>
        <v>Тепловой центр №2 ул.Вокзальная ок д.№20</v>
      </c>
      <c r="I70" s="2392"/>
      <c r="J70" s="2392"/>
      <c r="K70" s="2392"/>
      <c r="L70" s="2392"/>
      <c r="M70" s="2392"/>
      <c r="N70" s="2392"/>
      <c r="O70" s="2392"/>
      <c r="P70" s="2392"/>
      <c r="Q70" s="2392"/>
      <c r="R70" s="2392"/>
      <c r="S70" s="728"/>
      <c r="T70" s="725"/>
      <c r="U70" s="634"/>
      <c r="V70" s="634"/>
      <c r="W70" s="635"/>
      <c r="X70" s="635"/>
      <c r="Y70" s="635"/>
      <c r="Z70" s="635"/>
      <c r="AA70" s="636"/>
      <c r="AB70" s="637"/>
      <c r="AC70" s="2384"/>
      <c r="AD70" s="638"/>
      <c r="AE70" s="639"/>
      <c r="AF70" s="639"/>
      <c r="AG70" s="640"/>
      <c r="AH70" s="641"/>
      <c r="AI70" s="634"/>
      <c r="AJ70" s="634"/>
      <c r="AK70" s="634"/>
      <c r="AL70" s="634"/>
      <c r="AM70" s="634"/>
      <c r="AN70" s="634"/>
      <c r="AO70" s="634"/>
      <c r="AP70" s="634"/>
      <c r="AQ70" s="634"/>
      <c r="AR70" s="634"/>
      <c r="AS70" s="634"/>
      <c r="AT70" s="634"/>
      <c r="AU70" s="634"/>
      <c r="AV70" s="634"/>
      <c r="AW70" s="634"/>
      <c r="AX70" s="634"/>
      <c r="AY70" s="634"/>
      <c r="AZ70" s="634"/>
      <c r="BA70" s="634"/>
      <c r="BB70" s="634"/>
      <c r="BC70" s="634"/>
      <c r="BD70" s="634"/>
      <c r="BE70" s="634"/>
      <c r="BF70" s="634"/>
      <c r="BG70" s="634"/>
      <c r="BH70" s="634"/>
      <c r="BI70" s="634"/>
      <c r="BJ70" s="634"/>
      <c r="BK70" s="634"/>
      <c r="BL70" s="634"/>
      <c r="BM70" s="634"/>
      <c r="BN70" s="634"/>
      <c r="BO70" s="634"/>
      <c r="BP70" s="634"/>
      <c r="BQ70" s="634"/>
      <c r="BR70" s="634"/>
      <c r="BS70" s="634"/>
      <c r="BT70" s="634"/>
      <c r="BU70" s="634"/>
      <c r="BV70" s="635"/>
      <c r="BW70" s="635"/>
      <c r="BX70" s="635"/>
      <c r="BY70" s="635"/>
      <c r="BZ70" s="635"/>
      <c r="CA70" s="635"/>
      <c r="CB70" s="635"/>
      <c r="CC70" s="635"/>
      <c r="CD70" s="635"/>
      <c r="CE70" s="635"/>
      <c r="CF70" s="1859"/>
    </row>
    <row customHeight="1" ht="24.75" hidden="1">
      <c r="A71" s="1815"/>
      <c r="B71" s="1169"/>
      <c r="C71" s="421"/>
      <c r="D71" s="2588"/>
      <c r="E71" s="2385" t="s">
        <v>683</v>
      </c>
      <c r="F71" s="2385"/>
      <c r="G71" s="2385"/>
      <c r="H71" s="2385"/>
      <c r="I71" s="2385"/>
      <c r="J71" s="2385"/>
      <c r="K71" s="2385"/>
      <c r="L71" s="2385"/>
      <c r="M71" s="2385"/>
      <c r="N71" s="2385"/>
      <c r="O71" s="2385"/>
      <c r="P71" s="2385"/>
      <c r="Q71" s="567">
        <f>SUMIF(T72:T73,"i",Q72:Q73)</f>
        <v>0</v>
      </c>
      <c r="R71" s="1026"/>
      <c r="S71" s="1807" t="s">
        <v>684</v>
      </c>
      <c r="T71" s="726" t="s">
        <v>685</v>
      </c>
      <c r="U71" s="2383">
        <v>1</v>
      </c>
      <c r="V71" s="2383" t="s">
        <v>648</v>
      </c>
      <c r="W71" s="1169"/>
      <c r="X71" s="1169"/>
      <c r="Y71" s="1169"/>
      <c r="Z71" s="1169"/>
      <c r="AA71" s="1645"/>
      <c r="AB71" s="1169"/>
      <c r="AC71" s="2384"/>
      <c r="AD71" s="638"/>
      <c r="AE71" s="1169"/>
      <c r="AF71" s="1169"/>
      <c r="AG71" s="1645"/>
      <c r="AH71" s="1645"/>
      <c r="AI71" s="1645"/>
      <c r="AJ71" s="1645"/>
      <c r="AK71" s="1645"/>
      <c r="AL71" s="1645"/>
      <c r="AM71" s="1645"/>
      <c r="AN71" s="1645"/>
      <c r="AO71" s="1645"/>
      <c r="AP71" s="1645"/>
      <c r="AQ71" s="1645"/>
      <c r="AR71" s="1645"/>
      <c r="AS71" s="1645"/>
      <c r="AT71" s="1645"/>
      <c r="AU71" s="1645"/>
      <c r="AV71" s="1645"/>
      <c r="AW71" s="1645"/>
      <c r="AX71" s="1645"/>
      <c r="AY71" s="1645"/>
      <c r="AZ71" s="1645"/>
      <c r="BA71" s="1645"/>
      <c r="BB71" s="1645"/>
      <c r="BC71" s="1645"/>
      <c r="BD71" s="1645"/>
      <c r="BE71" s="1645"/>
      <c r="BF71" s="1645"/>
      <c r="BG71" s="1645"/>
      <c r="BH71" s="1645"/>
      <c r="BI71" s="1645"/>
      <c r="BJ71" s="1645"/>
      <c r="BK71" s="1645"/>
      <c r="BL71" s="1645"/>
      <c r="BM71" s="1645"/>
      <c r="BN71" s="1645"/>
      <c r="BO71" s="1645"/>
      <c r="BP71" s="1645"/>
      <c r="BQ71" s="1645"/>
      <c r="BR71" s="1645"/>
      <c r="BS71" s="1645"/>
      <c r="BT71" s="1645"/>
      <c r="BU71" s="1645"/>
      <c r="BV71" s="1169"/>
      <c r="BW71" s="1169"/>
      <c r="BX71" s="1169"/>
      <c r="BY71" s="1169"/>
      <c r="BZ71" s="1169"/>
      <c r="CA71" s="1169"/>
      <c r="CB71" s="1169"/>
      <c r="CC71" s="1169"/>
      <c r="CD71" s="1169"/>
      <c r="CE71" s="1169"/>
      <c r="CF71" s="1859"/>
    </row>
    <row customHeight="1" ht="11.25" hidden="1">
      <c r="A72" s="1802"/>
      <c r="B72" s="1645"/>
      <c r="C72" s="1645"/>
      <c r="D72" s="2588"/>
      <c r="E72" s="644"/>
      <c r="F72" s="644">
        <v>0</v>
      </c>
      <c r="G72" s="644"/>
      <c r="H72" s="644"/>
      <c r="I72" s="644"/>
      <c r="J72" s="644"/>
      <c r="K72" s="644"/>
      <c r="L72" s="644"/>
      <c r="M72" s="644"/>
      <c r="N72" s="644"/>
      <c r="O72" s="644"/>
      <c r="P72" s="644"/>
      <c r="Q72" s="644"/>
      <c r="R72" s="644"/>
      <c r="S72" s="645"/>
      <c r="T72" s="727"/>
      <c r="U72" s="2383"/>
      <c r="V72" s="2383"/>
      <c r="W72" s="1645"/>
      <c r="X72" s="1645"/>
      <c r="Y72" s="1645"/>
      <c r="Z72" s="1645"/>
      <c r="AA72" s="1645"/>
      <c r="AB72" s="1169"/>
      <c r="AC72" s="2384"/>
      <c r="AD72" s="638"/>
      <c r="AE72" s="1169"/>
      <c r="AF72" s="1169"/>
      <c r="AG72" s="1645"/>
      <c r="AH72" s="1645"/>
      <c r="AI72" s="1645"/>
      <c r="AJ72" s="1645"/>
      <c r="AK72" s="1645"/>
      <c r="AL72" s="1645"/>
      <c r="AM72" s="1645"/>
      <c r="AN72" s="1645"/>
      <c r="AO72" s="1645"/>
      <c r="AP72" s="1645"/>
      <c r="AQ72" s="1645"/>
      <c r="AR72" s="1645"/>
      <c r="AS72" s="1645"/>
      <c r="AT72" s="1645"/>
      <c r="AU72" s="1645"/>
      <c r="AV72" s="1645"/>
      <c r="AW72" s="1645"/>
      <c r="AX72" s="1645"/>
      <c r="AY72" s="1645"/>
      <c r="AZ72" s="1645"/>
      <c r="BA72" s="1645"/>
      <c r="BB72" s="1645"/>
      <c r="BC72" s="1645"/>
      <c r="BD72" s="1645"/>
      <c r="BE72" s="1645"/>
      <c r="BF72" s="1645"/>
      <c r="BG72" s="1645"/>
      <c r="BH72" s="1645"/>
      <c r="BI72" s="1645"/>
      <c r="BJ72" s="1645"/>
      <c r="BK72" s="1645"/>
      <c r="BL72" s="1645"/>
      <c r="BM72" s="1645"/>
      <c r="BN72" s="1645"/>
      <c r="BO72" s="1645"/>
      <c r="BP72" s="1645"/>
      <c r="BQ72" s="1645"/>
      <c r="BR72" s="1645"/>
      <c r="BS72" s="1645"/>
      <c r="BT72" s="1645"/>
      <c r="BU72" s="1645"/>
      <c r="BV72" s="1645"/>
      <c r="BW72" s="1645"/>
      <c r="BX72" s="1645"/>
      <c r="BY72" s="1645"/>
      <c r="BZ72" s="1645"/>
      <c r="CA72" s="1645"/>
      <c r="CB72" s="1645"/>
      <c r="CC72" s="1645"/>
      <c r="CD72" s="1645"/>
      <c r="CE72" s="1645"/>
      <c r="CF72" s="1859"/>
    </row>
    <row customHeight="1" ht="11.25" hidden="1">
      <c r="A73" s="1815"/>
      <c r="B73" s="1169"/>
      <c r="C73" s="421"/>
      <c r="D73" s="2588"/>
      <c r="E73" s="658" t="s">
        <v>22</v>
      </c>
      <c r="F73" s="1177" t="s">
        <v>22</v>
      </c>
      <c r="G73" s="1177" t="s">
        <v>688</v>
      </c>
      <c r="H73" s="660" t="s">
        <v>22</v>
      </c>
      <c r="I73" s="660"/>
      <c r="J73" s="660"/>
      <c r="K73" s="660"/>
      <c r="L73" s="660"/>
      <c r="M73" s="660"/>
      <c r="N73" s="660"/>
      <c r="O73" s="660"/>
      <c r="P73" s="660"/>
      <c r="Q73" s="660"/>
      <c r="R73" s="661"/>
      <c r="S73" s="662"/>
      <c r="T73" s="727"/>
      <c r="U73" s="2383"/>
      <c r="V73" s="2383"/>
      <c r="W73" s="1169"/>
      <c r="X73" s="1169"/>
      <c r="Y73" s="1169"/>
      <c r="Z73" s="1169"/>
      <c r="AA73" s="1645"/>
      <c r="AB73" s="1169"/>
      <c r="AC73" s="2384"/>
      <c r="AD73" s="638"/>
      <c r="AE73" s="1169"/>
      <c r="AF73" s="1169"/>
      <c r="AG73" s="1645"/>
      <c r="AH73" s="1645"/>
      <c r="AI73" s="1645"/>
      <c r="AJ73" s="1645"/>
      <c r="AK73" s="1645"/>
      <c r="AL73" s="1645"/>
      <c r="AM73" s="1645"/>
      <c r="AN73" s="1645"/>
      <c r="AO73" s="1645"/>
      <c r="AP73" s="1645"/>
      <c r="AQ73" s="1645"/>
      <c r="AR73" s="1645"/>
      <c r="AS73" s="1645"/>
      <c r="AT73" s="1645"/>
      <c r="AU73" s="1645"/>
      <c r="AV73" s="1645"/>
      <c r="AW73" s="1645"/>
      <c r="AX73" s="1645"/>
      <c r="AY73" s="1645"/>
      <c r="AZ73" s="1645"/>
      <c r="BA73" s="1645"/>
      <c r="BB73" s="1645"/>
      <c r="BC73" s="1645"/>
      <c r="BD73" s="1645"/>
      <c r="BE73" s="1645"/>
      <c r="BF73" s="1645"/>
      <c r="BG73" s="1645"/>
      <c r="BH73" s="1645"/>
      <c r="BI73" s="1645"/>
      <c r="BJ73" s="1645"/>
      <c r="BK73" s="1645"/>
      <c r="BL73" s="1645"/>
      <c r="BM73" s="1645"/>
      <c r="BN73" s="1645"/>
      <c r="BO73" s="1645"/>
      <c r="BP73" s="1645"/>
      <c r="BQ73" s="1645"/>
      <c r="BR73" s="1645"/>
      <c r="BS73" s="1645"/>
      <c r="BT73" s="1645"/>
      <c r="BU73" s="1645"/>
      <c r="BV73" s="1169"/>
      <c r="BW73" s="1169"/>
      <c r="BX73" s="1169"/>
      <c r="BY73" s="1169"/>
      <c r="BZ73" s="1169"/>
      <c r="CA73" s="1169"/>
      <c r="CB73" s="1169"/>
      <c r="CC73" s="1169"/>
      <c r="CD73" s="1169"/>
      <c r="CE73" s="1169"/>
      <c r="CF73" s="1859"/>
    </row>
    <row customHeight="1" ht="5.25" hidden="1">
      <c r="A74" s="1802"/>
      <c r="B74" s="1645"/>
      <c r="C74" s="1645"/>
      <c r="D74" s="2588"/>
      <c r="E74" s="1048"/>
      <c r="F74" s="1048"/>
      <c r="G74" s="1048"/>
      <c r="H74" s="1048"/>
      <c r="I74" s="1048"/>
      <c r="J74" s="1048"/>
      <c r="K74" s="1048"/>
      <c r="L74" s="1048"/>
      <c r="M74" s="1048"/>
      <c r="N74" s="1048"/>
      <c r="O74" s="1048"/>
      <c r="P74" s="1048"/>
      <c r="Q74" s="1049"/>
      <c r="R74" s="1050"/>
      <c r="S74" s="1051"/>
      <c r="T74" s="726" t="s">
        <v>685</v>
      </c>
      <c r="U74" s="2383">
        <v>1</v>
      </c>
      <c r="V74" s="2383" t="s">
        <v>648</v>
      </c>
      <c r="W74" s="1645"/>
      <c r="X74" s="1645"/>
      <c r="Y74" s="1645"/>
      <c r="Z74" s="1645"/>
      <c r="AA74" s="1645"/>
      <c r="AB74" s="1645"/>
      <c r="AC74" s="1046"/>
      <c r="AD74" s="1047"/>
      <c r="AE74" s="1645"/>
      <c r="AF74" s="1645"/>
      <c r="AG74" s="1645"/>
      <c r="AH74" s="1645"/>
      <c r="AI74" s="1645"/>
      <c r="AJ74" s="1645"/>
      <c r="AK74" s="1645"/>
      <c r="AL74" s="1645"/>
      <c r="AM74" s="1645"/>
      <c r="AN74" s="1645"/>
      <c r="AO74" s="1645"/>
      <c r="AP74" s="1645"/>
      <c r="AQ74" s="1645"/>
      <c r="AR74" s="1645"/>
      <c r="AS74" s="1645"/>
      <c r="AT74" s="1645"/>
      <c r="AU74" s="1645"/>
      <c r="AV74" s="1645"/>
      <c r="AW74" s="1645"/>
      <c r="AX74" s="1645"/>
      <c r="AY74" s="1645"/>
      <c r="AZ74" s="1645"/>
      <c r="BA74" s="1645"/>
      <c r="BB74" s="1645"/>
      <c r="BC74" s="1645"/>
      <c r="BD74" s="1645"/>
      <c r="BE74" s="1645"/>
      <c r="BF74" s="1645"/>
      <c r="BG74" s="1645"/>
      <c r="BH74" s="1645"/>
      <c r="BI74" s="1645"/>
      <c r="BJ74" s="1645"/>
      <c r="BK74" s="1645"/>
      <c r="BL74" s="1645"/>
      <c r="BM74" s="1645"/>
      <c r="BN74" s="1645"/>
      <c r="BO74" s="1645"/>
      <c r="BP74" s="1645"/>
      <c r="BQ74" s="1645"/>
      <c r="BR74" s="1645"/>
      <c r="BS74" s="1645"/>
      <c r="BT74" s="1645"/>
      <c r="BU74" s="1645"/>
      <c r="BV74" s="1645"/>
      <c r="BW74" s="1645"/>
      <c r="BX74" s="1645"/>
      <c r="BY74" s="1645"/>
      <c r="BZ74" s="1645"/>
      <c r="CA74" s="1645"/>
      <c r="CB74" s="1645"/>
      <c r="CC74" s="1645"/>
      <c r="CD74" s="1645"/>
      <c r="CE74" s="1645"/>
      <c r="CF74" s="1325"/>
    </row>
    <row customHeight="1" ht="5.25" hidden="1">
      <c r="A75" s="1802"/>
      <c r="B75" s="1645"/>
      <c r="C75" s="1645"/>
      <c r="D75" s="2588"/>
      <c r="E75" s="644"/>
      <c r="F75" s="644"/>
      <c r="G75" s="644"/>
      <c r="H75" s="644"/>
      <c r="I75" s="644"/>
      <c r="J75" s="644"/>
      <c r="K75" s="644"/>
      <c r="L75" s="644"/>
      <c r="M75" s="644"/>
      <c r="N75" s="644"/>
      <c r="O75" s="644"/>
      <c r="P75" s="644"/>
      <c r="Q75" s="644"/>
      <c r="R75" s="644"/>
      <c r="S75" s="645"/>
      <c r="T75" s="727"/>
      <c r="U75" s="2383"/>
      <c r="V75" s="2383"/>
      <c r="W75" s="1645"/>
      <c r="X75" s="1645"/>
      <c r="Y75" s="1645"/>
      <c r="Z75" s="1645"/>
      <c r="AA75" s="1645"/>
      <c r="AB75" s="1645"/>
      <c r="AC75" s="1046"/>
      <c r="AD75" s="1047"/>
      <c r="AE75" s="1645"/>
      <c r="AF75" s="1645"/>
      <c r="AG75" s="1645"/>
      <c r="AH75" s="1645"/>
      <c r="AI75" s="1645"/>
      <c r="AJ75" s="1645"/>
      <c r="AK75" s="1645"/>
      <c r="AL75" s="1645"/>
      <c r="AM75" s="1645"/>
      <c r="AN75" s="1645"/>
      <c r="AO75" s="1645"/>
      <c r="AP75" s="1645"/>
      <c r="AQ75" s="1645"/>
      <c r="AR75" s="1645"/>
      <c r="AS75" s="1645"/>
      <c r="AT75" s="1645"/>
      <c r="AU75" s="1645"/>
      <c r="AV75" s="1645"/>
      <c r="AW75" s="1645"/>
      <c r="AX75" s="1645"/>
      <c r="AY75" s="1645"/>
      <c r="AZ75" s="1645"/>
      <c r="BA75" s="1645"/>
      <c r="BB75" s="1645"/>
      <c r="BC75" s="1645"/>
      <c r="BD75" s="1645"/>
      <c r="BE75" s="1645"/>
      <c r="BF75" s="1645"/>
      <c r="BG75" s="1645"/>
      <c r="BH75" s="1645"/>
      <c r="BI75" s="1645"/>
      <c r="BJ75" s="1645"/>
      <c r="BK75" s="1645"/>
      <c r="BL75" s="1645"/>
      <c r="BM75" s="1645"/>
      <c r="BN75" s="1645"/>
      <c r="BO75" s="1645"/>
      <c r="BP75" s="1645"/>
      <c r="BQ75" s="1645"/>
      <c r="BR75" s="1645"/>
      <c r="BS75" s="1645"/>
      <c r="BT75" s="1645"/>
      <c r="BU75" s="1645"/>
      <c r="BV75" s="1645"/>
      <c r="BW75" s="1645"/>
      <c r="BX75" s="1645"/>
      <c r="BY75" s="1645"/>
      <c r="BZ75" s="1645"/>
      <c r="CA75" s="1645"/>
      <c r="CB75" s="1645"/>
      <c r="CC75" s="1645"/>
      <c r="CD75" s="1645"/>
      <c r="CE75" s="1645"/>
      <c r="CF75" s="1325"/>
    </row>
    <row customHeight="1" ht="5.25" hidden="1">
      <c r="A76" s="1802"/>
      <c r="B76" s="1645"/>
      <c r="C76" s="1645"/>
      <c r="D76" s="2589"/>
      <c r="E76" s="1052"/>
      <c r="F76" s="1053"/>
      <c r="G76" s="1053"/>
      <c r="H76" s="1054"/>
      <c r="I76" s="1054"/>
      <c r="J76" s="1054"/>
      <c r="K76" s="1054"/>
      <c r="L76" s="1054"/>
      <c r="M76" s="1054"/>
      <c r="N76" s="1054"/>
      <c r="O76" s="1054"/>
      <c r="P76" s="1054"/>
      <c r="Q76" s="1054"/>
      <c r="R76" s="955"/>
      <c r="S76" s="1055"/>
      <c r="T76" s="727"/>
      <c r="U76" s="2383"/>
      <c r="V76" s="2383"/>
      <c r="W76" s="1645"/>
      <c r="X76" s="1645"/>
      <c r="Y76" s="1645"/>
      <c r="Z76" s="1645"/>
      <c r="AA76" s="1645"/>
      <c r="AB76" s="1645"/>
      <c r="AC76" s="1046"/>
      <c r="AD76" s="1047"/>
      <c r="AE76" s="1645"/>
      <c r="AF76" s="1645"/>
      <c r="AG76" s="1645"/>
      <c r="AH76" s="1645"/>
      <c r="AI76" s="1645"/>
      <c r="AJ76" s="1645"/>
      <c r="AK76" s="1645"/>
      <c r="AL76" s="1645"/>
      <c r="AM76" s="1645"/>
      <c r="AN76" s="1645"/>
      <c r="AO76" s="1645"/>
      <c r="AP76" s="1645"/>
      <c r="AQ76" s="1645"/>
      <c r="AR76" s="1645"/>
      <c r="AS76" s="1645"/>
      <c r="AT76" s="1645"/>
      <c r="AU76" s="1645"/>
      <c r="AV76" s="1645"/>
      <c r="AW76" s="1645"/>
      <c r="AX76" s="1645"/>
      <c r="AY76" s="1645"/>
      <c r="AZ76" s="1645"/>
      <c r="BA76" s="1645"/>
      <c r="BB76" s="1645"/>
      <c r="BC76" s="1645"/>
      <c r="BD76" s="1645"/>
      <c r="BE76" s="1645"/>
      <c r="BF76" s="1645"/>
      <c r="BG76" s="1645"/>
      <c r="BH76" s="1645"/>
      <c r="BI76" s="1645"/>
      <c r="BJ76" s="1645"/>
      <c r="BK76" s="1645"/>
      <c r="BL76" s="1645"/>
      <c r="BM76" s="1645"/>
      <c r="BN76" s="1645"/>
      <c r="BO76" s="1645"/>
      <c r="BP76" s="1645"/>
      <c r="BQ76" s="1645"/>
      <c r="BR76" s="1645"/>
      <c r="BS76" s="1645"/>
      <c r="BT76" s="1645"/>
      <c r="BU76" s="1645"/>
      <c r="BV76" s="1645"/>
      <c r="BW76" s="1645"/>
      <c r="BX76" s="1645"/>
      <c r="BY76" s="1645"/>
      <c r="BZ76" s="1645"/>
      <c r="CA76" s="1645"/>
      <c r="CB76" s="1645"/>
      <c r="CC76" s="1645"/>
      <c r="CD76" s="1645"/>
      <c r="CE76" s="1645"/>
      <c r="CF76" s="1325"/>
    </row>
    <row customHeight="1" ht="15" hidden="1">
      <c r="A77" s="632" t="s">
        <v>135</v>
      </c>
      <c r="B77" s="633"/>
      <c r="C77" s="633" t="s">
        <v>22</v>
      </c>
      <c r="D77" s="2587" t="s">
        <v>694</v>
      </c>
      <c r="E77" s="2386" t="s">
        <v>105</v>
      </c>
      <c r="F77" s="2387"/>
      <c r="G77" s="2388"/>
      <c r="H77" s="2392" t="str">
        <f>IF(A77="","",INDEX(DIFFERENTIATION_UNMERGE_VD,MATCH(A77,DIFFERENTIATION_ID_DIFF,0)))</f>
        <v>Производство тепловой энергии. Некомбинированная выработка</v>
      </c>
      <c r="I77" s="2392"/>
      <c r="J77" s="2392"/>
      <c r="K77" s="2392"/>
      <c r="L77" s="2392"/>
      <c r="M77" s="2392"/>
      <c r="N77" s="2392"/>
      <c r="O77" s="2392"/>
      <c r="P77" s="2392"/>
      <c r="Q77" s="2392"/>
      <c r="R77" s="2392"/>
      <c r="S77" s="728"/>
      <c r="T77" s="725"/>
      <c r="U77" s="634"/>
      <c r="V77" s="634"/>
      <c r="W77" s="635"/>
      <c r="X77" s="635"/>
      <c r="Y77" s="635"/>
      <c r="Z77" s="635"/>
      <c r="AA77" s="636"/>
      <c r="AB77" s="637"/>
      <c r="AC77" s="2384"/>
      <c r="AD77" s="638"/>
      <c r="AE77" s="639" t="s">
        <v>22</v>
      </c>
      <c r="AF77" s="639"/>
      <c r="AG77" s="640" t="s">
        <v>682</v>
      </c>
      <c r="AH77" s="641">
        <v>3</v>
      </c>
      <c r="AI77" s="634"/>
      <c r="AJ77" s="634"/>
      <c r="AK77" s="634"/>
      <c r="AL77" s="634"/>
      <c r="AM77" s="634"/>
      <c r="AN77" s="634"/>
      <c r="AO77" s="634"/>
      <c r="AP77" s="634"/>
      <c r="AQ77" s="634"/>
      <c r="AR77" s="634"/>
      <c r="AS77" s="634"/>
      <c r="AT77" s="634"/>
      <c r="AU77" s="634"/>
      <c r="AV77" s="634"/>
      <c r="AW77" s="634"/>
      <c r="AX77" s="634"/>
      <c r="AY77" s="634"/>
      <c r="AZ77" s="634"/>
      <c r="BA77" s="634"/>
      <c r="BB77" s="634"/>
      <c r="BC77" s="634"/>
      <c r="BD77" s="634"/>
      <c r="BE77" s="634"/>
      <c r="BF77" s="634"/>
      <c r="BG77" s="634"/>
      <c r="BH77" s="634"/>
      <c r="BI77" s="634"/>
      <c r="BJ77" s="634"/>
      <c r="BK77" s="634"/>
      <c r="BL77" s="634"/>
      <c r="BM77" s="634"/>
      <c r="BN77" s="634"/>
      <c r="BO77" s="634"/>
      <c r="BP77" s="634"/>
      <c r="BQ77" s="634"/>
      <c r="BR77" s="634"/>
      <c r="BS77" s="634"/>
      <c r="BT77" s="634"/>
      <c r="BU77" s="634"/>
      <c r="BV77" s="635"/>
      <c r="BW77" s="635"/>
      <c r="BX77" s="635"/>
      <c r="BY77" s="635"/>
      <c r="BZ77" s="635"/>
      <c r="CA77" s="635"/>
      <c r="CB77" s="635"/>
      <c r="CC77" s="635"/>
      <c r="CD77" s="635"/>
      <c r="CE77" s="635"/>
      <c r="CF77" s="1859"/>
    </row>
    <row customHeight="1" ht="15" hidden="1">
      <c r="A78" s="632"/>
      <c r="B78" s="633"/>
      <c r="C78" s="633"/>
      <c r="D78" s="2588"/>
      <c r="E78" s="2386" t="s">
        <v>637</v>
      </c>
      <c r="F78" s="2387"/>
      <c r="G78" s="2388"/>
      <c r="H78" s="2392" t="str">
        <f>IF(A77="","",INDEX(DIFFERENTIATION_UNMERGE_AREA,MATCH(A77,DIFFERENTIATION_ID_DIFF,0)))</f>
        <v>Территория 1</v>
      </c>
      <c r="I78" s="2392"/>
      <c r="J78" s="2392"/>
      <c r="K78" s="2392"/>
      <c r="L78" s="2392"/>
      <c r="M78" s="2392"/>
      <c r="N78" s="2392"/>
      <c r="O78" s="2392"/>
      <c r="P78" s="2392"/>
      <c r="Q78" s="2392"/>
      <c r="R78" s="2392"/>
      <c r="S78" s="728"/>
      <c r="T78" s="725"/>
      <c r="U78" s="634"/>
      <c r="V78" s="634"/>
      <c r="W78" s="635"/>
      <c r="X78" s="635"/>
      <c r="Y78" s="635"/>
      <c r="Z78" s="635"/>
      <c r="AA78" s="636"/>
      <c r="AB78" s="637"/>
      <c r="AC78" s="2384"/>
      <c r="AD78" s="638"/>
      <c r="AE78" s="639"/>
      <c r="AF78" s="639"/>
      <c r="AG78" s="640"/>
      <c r="AH78" s="641"/>
      <c r="AI78" s="634"/>
      <c r="AJ78" s="634"/>
      <c r="AK78" s="634"/>
      <c r="AL78" s="634"/>
      <c r="AM78" s="634"/>
      <c r="AN78" s="634"/>
      <c r="AO78" s="634"/>
      <c r="AP78" s="634"/>
      <c r="AQ78" s="634"/>
      <c r="AR78" s="634"/>
      <c r="AS78" s="634"/>
      <c r="AT78" s="634"/>
      <c r="AU78" s="634"/>
      <c r="AV78" s="634"/>
      <c r="AW78" s="634"/>
      <c r="AX78" s="634"/>
      <c r="AY78" s="634"/>
      <c r="AZ78" s="634"/>
      <c r="BA78" s="634"/>
      <c r="BB78" s="634"/>
      <c r="BC78" s="634"/>
      <c r="BD78" s="634"/>
      <c r="BE78" s="634"/>
      <c r="BF78" s="634"/>
      <c r="BG78" s="634"/>
      <c r="BH78" s="634"/>
      <c r="BI78" s="634"/>
      <c r="BJ78" s="634"/>
      <c r="BK78" s="634"/>
      <c r="BL78" s="634"/>
      <c r="BM78" s="634"/>
      <c r="BN78" s="634"/>
      <c r="BO78" s="634"/>
      <c r="BP78" s="634"/>
      <c r="BQ78" s="634"/>
      <c r="BR78" s="634"/>
      <c r="BS78" s="634"/>
      <c r="BT78" s="634"/>
      <c r="BU78" s="634"/>
      <c r="BV78" s="635"/>
      <c r="BW78" s="635"/>
      <c r="BX78" s="635"/>
      <c r="BY78" s="635"/>
      <c r="BZ78" s="635"/>
      <c r="CA78" s="635"/>
      <c r="CB78" s="635"/>
      <c r="CC78" s="635"/>
      <c r="CD78" s="635"/>
      <c r="CE78" s="635"/>
      <c r="CF78" s="1859"/>
    </row>
    <row customHeight="1" ht="15" hidden="1">
      <c r="A79" s="632"/>
      <c r="B79" s="633"/>
      <c r="C79" s="633"/>
      <c r="D79" s="2588"/>
      <c r="E79" s="2386" t="s">
        <v>638</v>
      </c>
      <c r="F79" s="2387"/>
      <c r="G79" s="2388"/>
      <c r="H79" s="2392" t="str">
        <f>IF(A77="","",INDEX(DIFFERENTIATION_UNMERGE_SYSTEM,MATCH(A77,DIFFERENTIATION_ID_DIFF,0)))</f>
        <v>Котельная №8, ул.Мира</v>
      </c>
      <c r="I79" s="2392"/>
      <c r="J79" s="2392"/>
      <c r="K79" s="2392"/>
      <c r="L79" s="2392"/>
      <c r="M79" s="2392"/>
      <c r="N79" s="2392"/>
      <c r="O79" s="2392"/>
      <c r="P79" s="2392"/>
      <c r="Q79" s="2392"/>
      <c r="R79" s="2392"/>
      <c r="S79" s="728"/>
      <c r="T79" s="725"/>
      <c r="U79" s="634"/>
      <c r="V79" s="634"/>
      <c r="W79" s="635"/>
      <c r="X79" s="635"/>
      <c r="Y79" s="635"/>
      <c r="Z79" s="635"/>
      <c r="AA79" s="636"/>
      <c r="AB79" s="637"/>
      <c r="AC79" s="2384"/>
      <c r="AD79" s="638"/>
      <c r="AE79" s="639"/>
      <c r="AF79" s="639"/>
      <c r="AG79" s="640"/>
      <c r="AH79" s="641"/>
      <c r="AI79" s="634"/>
      <c r="AJ79" s="634"/>
      <c r="AK79" s="634"/>
      <c r="AL79" s="634"/>
      <c r="AM79" s="634"/>
      <c r="AN79" s="634"/>
      <c r="AO79" s="634"/>
      <c r="AP79" s="634"/>
      <c r="AQ79" s="634"/>
      <c r="AR79" s="634"/>
      <c r="AS79" s="634"/>
      <c r="AT79" s="634"/>
      <c r="AU79" s="634"/>
      <c r="AV79" s="634"/>
      <c r="AW79" s="634"/>
      <c r="AX79" s="634"/>
      <c r="AY79" s="634"/>
      <c r="AZ79" s="634"/>
      <c r="BA79" s="634"/>
      <c r="BB79" s="634"/>
      <c r="BC79" s="634"/>
      <c r="BD79" s="634"/>
      <c r="BE79" s="634"/>
      <c r="BF79" s="634"/>
      <c r="BG79" s="634"/>
      <c r="BH79" s="634"/>
      <c r="BI79" s="634"/>
      <c r="BJ79" s="634"/>
      <c r="BK79" s="634"/>
      <c r="BL79" s="634"/>
      <c r="BM79" s="634"/>
      <c r="BN79" s="634"/>
      <c r="BO79" s="634"/>
      <c r="BP79" s="634"/>
      <c r="BQ79" s="634"/>
      <c r="BR79" s="634"/>
      <c r="BS79" s="634"/>
      <c r="BT79" s="634"/>
      <c r="BU79" s="634"/>
      <c r="BV79" s="635"/>
      <c r="BW79" s="635"/>
      <c r="BX79" s="635"/>
      <c r="BY79" s="635"/>
      <c r="BZ79" s="635"/>
      <c r="CA79" s="635"/>
      <c r="CB79" s="635"/>
      <c r="CC79" s="635"/>
      <c r="CD79" s="635"/>
      <c r="CE79" s="635"/>
      <c r="CF79" s="1859"/>
    </row>
    <row customHeight="1" ht="24.75" hidden="1">
      <c r="A80" s="1815"/>
      <c r="B80" s="1169"/>
      <c r="C80" s="421"/>
      <c r="D80" s="2588"/>
      <c r="E80" s="2385" t="s">
        <v>683</v>
      </c>
      <c r="F80" s="2385"/>
      <c r="G80" s="2385"/>
      <c r="H80" s="2385"/>
      <c r="I80" s="2385"/>
      <c r="J80" s="2385"/>
      <c r="K80" s="2385"/>
      <c r="L80" s="2385"/>
      <c r="M80" s="2385"/>
      <c r="N80" s="2385"/>
      <c r="O80" s="2385"/>
      <c r="P80" s="2385"/>
      <c r="Q80" s="567">
        <f>SUMIF(T81:T82,"i",Q81:Q82)</f>
        <v>0</v>
      </c>
      <c r="R80" s="1026"/>
      <c r="S80" s="1807" t="s">
        <v>684</v>
      </c>
      <c r="T80" s="726" t="s">
        <v>685</v>
      </c>
      <c r="U80" s="2383">
        <v>1</v>
      </c>
      <c r="V80" s="2383" t="s">
        <v>648</v>
      </c>
      <c r="W80" s="1169"/>
      <c r="X80" s="1169"/>
      <c r="Y80" s="1169"/>
      <c r="Z80" s="1169"/>
      <c r="AA80" s="1645"/>
      <c r="AB80" s="1169"/>
      <c r="AC80" s="2384"/>
      <c r="AD80" s="638"/>
      <c r="AE80" s="1169"/>
      <c r="AF80" s="1169"/>
      <c r="AG80" s="1645"/>
      <c r="AH80" s="1645"/>
      <c r="AI80" s="1645"/>
      <c r="AJ80" s="1645"/>
      <c r="AK80" s="1645"/>
      <c r="AL80" s="1645"/>
      <c r="AM80" s="1645"/>
      <c r="AN80" s="1645"/>
      <c r="AO80" s="1645"/>
      <c r="AP80" s="1645"/>
      <c r="AQ80" s="1645"/>
      <c r="AR80" s="1645"/>
      <c r="AS80" s="1645"/>
      <c r="AT80" s="1645"/>
      <c r="AU80" s="1645"/>
      <c r="AV80" s="1645"/>
      <c r="AW80" s="1645"/>
      <c r="AX80" s="1645"/>
      <c r="AY80" s="1645"/>
      <c r="AZ80" s="1645"/>
      <c r="BA80" s="1645"/>
      <c r="BB80" s="1645"/>
      <c r="BC80" s="1645"/>
      <c r="BD80" s="1645"/>
      <c r="BE80" s="1645"/>
      <c r="BF80" s="1645"/>
      <c r="BG80" s="1645"/>
      <c r="BH80" s="1645"/>
      <c r="BI80" s="1645"/>
      <c r="BJ80" s="1645"/>
      <c r="BK80" s="1645"/>
      <c r="BL80" s="1645"/>
      <c r="BM80" s="1645"/>
      <c r="BN80" s="1645"/>
      <c r="BO80" s="1645"/>
      <c r="BP80" s="1645"/>
      <c r="BQ80" s="1645"/>
      <c r="BR80" s="1645"/>
      <c r="BS80" s="1645"/>
      <c r="BT80" s="1645"/>
      <c r="BU80" s="1645"/>
      <c r="BV80" s="1169"/>
      <c r="BW80" s="1169"/>
      <c r="BX80" s="1169"/>
      <c r="BY80" s="1169"/>
      <c r="BZ80" s="1169"/>
      <c r="CA80" s="1169"/>
      <c r="CB80" s="1169"/>
      <c r="CC80" s="1169"/>
      <c r="CD80" s="1169"/>
      <c r="CE80" s="1169"/>
      <c r="CF80" s="1859"/>
    </row>
    <row customHeight="1" ht="11.25" hidden="1">
      <c r="A81" s="1802"/>
      <c r="B81" s="1645"/>
      <c r="C81" s="1645"/>
      <c r="D81" s="2588"/>
      <c r="E81" s="644"/>
      <c r="F81" s="644">
        <v>0</v>
      </c>
      <c r="G81" s="644"/>
      <c r="H81" s="644"/>
      <c r="I81" s="644"/>
      <c r="J81" s="644"/>
      <c r="K81" s="644"/>
      <c r="L81" s="644"/>
      <c r="M81" s="644"/>
      <c r="N81" s="644"/>
      <c r="O81" s="644"/>
      <c r="P81" s="644"/>
      <c r="Q81" s="644"/>
      <c r="R81" s="644"/>
      <c r="S81" s="645"/>
      <c r="T81" s="727"/>
      <c r="U81" s="2383"/>
      <c r="V81" s="2383"/>
      <c r="W81" s="1645"/>
      <c r="X81" s="1645"/>
      <c r="Y81" s="1645"/>
      <c r="Z81" s="1645"/>
      <c r="AA81" s="1645"/>
      <c r="AB81" s="1169"/>
      <c r="AC81" s="2384"/>
      <c r="AD81" s="638"/>
      <c r="AE81" s="1169"/>
      <c r="AF81" s="1169"/>
      <c r="AG81" s="1645"/>
      <c r="AH81" s="1645"/>
      <c r="AI81" s="1645"/>
      <c r="AJ81" s="1645"/>
      <c r="AK81" s="1645"/>
      <c r="AL81" s="1645"/>
      <c r="AM81" s="1645"/>
      <c r="AN81" s="1645"/>
      <c r="AO81" s="1645"/>
      <c r="AP81" s="1645"/>
      <c r="AQ81" s="1645"/>
      <c r="AR81" s="1645"/>
      <c r="AS81" s="1645"/>
      <c r="AT81" s="1645"/>
      <c r="AU81" s="1645"/>
      <c r="AV81" s="1645"/>
      <c r="AW81" s="1645"/>
      <c r="AX81" s="1645"/>
      <c r="AY81" s="1645"/>
      <c r="AZ81" s="1645"/>
      <c r="BA81" s="1645"/>
      <c r="BB81" s="1645"/>
      <c r="BC81" s="1645"/>
      <c r="BD81" s="1645"/>
      <c r="BE81" s="1645"/>
      <c r="BF81" s="1645"/>
      <c r="BG81" s="1645"/>
      <c r="BH81" s="1645"/>
      <c r="BI81" s="1645"/>
      <c r="BJ81" s="1645"/>
      <c r="BK81" s="1645"/>
      <c r="BL81" s="1645"/>
      <c r="BM81" s="1645"/>
      <c r="BN81" s="1645"/>
      <c r="BO81" s="1645"/>
      <c r="BP81" s="1645"/>
      <c r="BQ81" s="1645"/>
      <c r="BR81" s="1645"/>
      <c r="BS81" s="1645"/>
      <c r="BT81" s="1645"/>
      <c r="BU81" s="1645"/>
      <c r="BV81" s="1645"/>
      <c r="BW81" s="1645"/>
      <c r="BX81" s="1645"/>
      <c r="BY81" s="1645"/>
      <c r="BZ81" s="1645"/>
      <c r="CA81" s="1645"/>
      <c r="CB81" s="1645"/>
      <c r="CC81" s="1645"/>
      <c r="CD81" s="1645"/>
      <c r="CE81" s="1645"/>
      <c r="CF81" s="1859"/>
    </row>
    <row customHeight="1" ht="11.25" hidden="1">
      <c r="A82" s="1815"/>
      <c r="B82" s="1169"/>
      <c r="C82" s="421"/>
      <c r="D82" s="2588"/>
      <c r="E82" s="658" t="s">
        <v>22</v>
      </c>
      <c r="F82" s="1177" t="s">
        <v>22</v>
      </c>
      <c r="G82" s="1177" t="s">
        <v>688</v>
      </c>
      <c r="H82" s="660" t="s">
        <v>22</v>
      </c>
      <c r="I82" s="660"/>
      <c r="J82" s="660"/>
      <c r="K82" s="660"/>
      <c r="L82" s="660"/>
      <c r="M82" s="660"/>
      <c r="N82" s="660"/>
      <c r="O82" s="660"/>
      <c r="P82" s="660"/>
      <c r="Q82" s="660"/>
      <c r="R82" s="661"/>
      <c r="S82" s="662"/>
      <c r="T82" s="727"/>
      <c r="U82" s="2383"/>
      <c r="V82" s="2383"/>
      <c r="W82" s="1169"/>
      <c r="X82" s="1169"/>
      <c r="Y82" s="1169"/>
      <c r="Z82" s="1169"/>
      <c r="AA82" s="1645"/>
      <c r="AB82" s="1169"/>
      <c r="AC82" s="2384"/>
      <c r="AD82" s="638"/>
      <c r="AE82" s="1169"/>
      <c r="AF82" s="1169"/>
      <c r="AG82" s="1645"/>
      <c r="AH82" s="1645"/>
      <c r="AI82" s="1645"/>
      <c r="AJ82" s="1645"/>
      <c r="AK82" s="1645"/>
      <c r="AL82" s="1645"/>
      <c r="AM82" s="1645"/>
      <c r="AN82" s="1645"/>
      <c r="AO82" s="1645"/>
      <c r="AP82" s="1645"/>
      <c r="AQ82" s="1645"/>
      <c r="AR82" s="1645"/>
      <c r="AS82" s="1645"/>
      <c r="AT82" s="1645"/>
      <c r="AU82" s="1645"/>
      <c r="AV82" s="1645"/>
      <c r="AW82" s="1645"/>
      <c r="AX82" s="1645"/>
      <c r="AY82" s="1645"/>
      <c r="AZ82" s="1645"/>
      <c r="BA82" s="1645"/>
      <c r="BB82" s="1645"/>
      <c r="BC82" s="1645"/>
      <c r="BD82" s="1645"/>
      <c r="BE82" s="1645"/>
      <c r="BF82" s="1645"/>
      <c r="BG82" s="1645"/>
      <c r="BH82" s="1645"/>
      <c r="BI82" s="1645"/>
      <c r="BJ82" s="1645"/>
      <c r="BK82" s="1645"/>
      <c r="BL82" s="1645"/>
      <c r="BM82" s="1645"/>
      <c r="BN82" s="1645"/>
      <c r="BO82" s="1645"/>
      <c r="BP82" s="1645"/>
      <c r="BQ82" s="1645"/>
      <c r="BR82" s="1645"/>
      <c r="BS82" s="1645"/>
      <c r="BT82" s="1645"/>
      <c r="BU82" s="1645"/>
      <c r="BV82" s="1169"/>
      <c r="BW82" s="1169"/>
      <c r="BX82" s="1169"/>
      <c r="BY82" s="1169"/>
      <c r="BZ82" s="1169"/>
      <c r="CA82" s="1169"/>
      <c r="CB82" s="1169"/>
      <c r="CC82" s="1169"/>
      <c r="CD82" s="1169"/>
      <c r="CE82" s="1169"/>
      <c r="CF82" s="1859"/>
    </row>
    <row customHeight="1" ht="5.25" hidden="1">
      <c r="A83" s="1802"/>
      <c r="B83" s="1645"/>
      <c r="C83" s="1645"/>
      <c r="D83" s="2588"/>
      <c r="E83" s="1048"/>
      <c r="F83" s="1048"/>
      <c r="G83" s="1048"/>
      <c r="H83" s="1048"/>
      <c r="I83" s="1048"/>
      <c r="J83" s="1048"/>
      <c r="K83" s="1048"/>
      <c r="L83" s="1048"/>
      <c r="M83" s="1048"/>
      <c r="N83" s="1048"/>
      <c r="O83" s="1048"/>
      <c r="P83" s="1048"/>
      <c r="Q83" s="1049"/>
      <c r="R83" s="1050"/>
      <c r="S83" s="1051"/>
      <c r="T83" s="726" t="s">
        <v>685</v>
      </c>
      <c r="U83" s="2383">
        <v>1</v>
      </c>
      <c r="V83" s="2383" t="s">
        <v>648</v>
      </c>
      <c r="W83" s="1645"/>
      <c r="X83" s="1645"/>
      <c r="Y83" s="1645"/>
      <c r="Z83" s="1645"/>
      <c r="AA83" s="1645"/>
      <c r="AB83" s="1645"/>
      <c r="AC83" s="1046"/>
      <c r="AD83" s="1047"/>
      <c r="AE83" s="1645"/>
      <c r="AF83" s="1645"/>
      <c r="AG83" s="1645"/>
      <c r="AH83" s="1645"/>
      <c r="AI83" s="1645"/>
      <c r="AJ83" s="1645"/>
      <c r="AK83" s="1645"/>
      <c r="AL83" s="1645"/>
      <c r="AM83" s="1645"/>
      <c r="AN83" s="1645"/>
      <c r="AO83" s="1645"/>
      <c r="AP83" s="1645"/>
      <c r="AQ83" s="1645"/>
      <c r="AR83" s="1645"/>
      <c r="AS83" s="1645"/>
      <c r="AT83" s="1645"/>
      <c r="AU83" s="1645"/>
      <c r="AV83" s="1645"/>
      <c r="AW83" s="1645"/>
      <c r="AX83" s="1645"/>
      <c r="AY83" s="1645"/>
      <c r="AZ83" s="1645"/>
      <c r="BA83" s="1645"/>
      <c r="BB83" s="1645"/>
      <c r="BC83" s="1645"/>
      <c r="BD83" s="1645"/>
      <c r="BE83" s="1645"/>
      <c r="BF83" s="1645"/>
      <c r="BG83" s="1645"/>
      <c r="BH83" s="1645"/>
      <c r="BI83" s="1645"/>
      <c r="BJ83" s="1645"/>
      <c r="BK83" s="1645"/>
      <c r="BL83" s="1645"/>
      <c r="BM83" s="1645"/>
      <c r="BN83" s="1645"/>
      <c r="BO83" s="1645"/>
      <c r="BP83" s="1645"/>
      <c r="BQ83" s="1645"/>
      <c r="BR83" s="1645"/>
      <c r="BS83" s="1645"/>
      <c r="BT83" s="1645"/>
      <c r="BU83" s="1645"/>
      <c r="BV83" s="1645"/>
      <c r="BW83" s="1645"/>
      <c r="BX83" s="1645"/>
      <c r="BY83" s="1645"/>
      <c r="BZ83" s="1645"/>
      <c r="CA83" s="1645"/>
      <c r="CB83" s="1645"/>
      <c r="CC83" s="1645"/>
      <c r="CD83" s="1645"/>
      <c r="CE83" s="1645"/>
      <c r="CF83" s="1325"/>
    </row>
    <row customHeight="1" ht="5.25" hidden="1">
      <c r="A84" s="1802"/>
      <c r="B84" s="1645"/>
      <c r="C84" s="1645"/>
      <c r="D84" s="2588"/>
      <c r="E84" s="644"/>
      <c r="F84" s="644"/>
      <c r="G84" s="644"/>
      <c r="H84" s="644"/>
      <c r="I84" s="644"/>
      <c r="J84" s="644"/>
      <c r="K84" s="644"/>
      <c r="L84" s="644"/>
      <c r="M84" s="644"/>
      <c r="N84" s="644"/>
      <c r="O84" s="644"/>
      <c r="P84" s="644"/>
      <c r="Q84" s="644"/>
      <c r="R84" s="644"/>
      <c r="S84" s="645"/>
      <c r="T84" s="727"/>
      <c r="U84" s="2383"/>
      <c r="V84" s="2383"/>
      <c r="W84" s="1645"/>
      <c r="X84" s="1645"/>
      <c r="Y84" s="1645"/>
      <c r="Z84" s="1645"/>
      <c r="AA84" s="1645"/>
      <c r="AB84" s="1645"/>
      <c r="AC84" s="1046"/>
      <c r="AD84" s="1047"/>
      <c r="AE84" s="1645"/>
      <c r="AF84" s="1645"/>
      <c r="AG84" s="1645"/>
      <c r="AH84" s="1645"/>
      <c r="AI84" s="1645"/>
      <c r="AJ84" s="1645"/>
      <c r="AK84" s="1645"/>
      <c r="AL84" s="1645"/>
      <c r="AM84" s="1645"/>
      <c r="AN84" s="1645"/>
      <c r="AO84" s="1645"/>
      <c r="AP84" s="1645"/>
      <c r="AQ84" s="1645"/>
      <c r="AR84" s="1645"/>
      <c r="AS84" s="1645"/>
      <c r="AT84" s="1645"/>
      <c r="AU84" s="1645"/>
      <c r="AV84" s="1645"/>
      <c r="AW84" s="1645"/>
      <c r="AX84" s="1645"/>
      <c r="AY84" s="1645"/>
      <c r="AZ84" s="1645"/>
      <c r="BA84" s="1645"/>
      <c r="BB84" s="1645"/>
      <c r="BC84" s="1645"/>
      <c r="BD84" s="1645"/>
      <c r="BE84" s="1645"/>
      <c r="BF84" s="1645"/>
      <c r="BG84" s="1645"/>
      <c r="BH84" s="1645"/>
      <c r="BI84" s="1645"/>
      <c r="BJ84" s="1645"/>
      <c r="BK84" s="1645"/>
      <c r="BL84" s="1645"/>
      <c r="BM84" s="1645"/>
      <c r="BN84" s="1645"/>
      <c r="BO84" s="1645"/>
      <c r="BP84" s="1645"/>
      <c r="BQ84" s="1645"/>
      <c r="BR84" s="1645"/>
      <c r="BS84" s="1645"/>
      <c r="BT84" s="1645"/>
      <c r="BU84" s="1645"/>
      <c r="BV84" s="1645"/>
      <c r="BW84" s="1645"/>
      <c r="BX84" s="1645"/>
      <c r="BY84" s="1645"/>
      <c r="BZ84" s="1645"/>
      <c r="CA84" s="1645"/>
      <c r="CB84" s="1645"/>
      <c r="CC84" s="1645"/>
      <c r="CD84" s="1645"/>
      <c r="CE84" s="1645"/>
      <c r="CF84" s="1325"/>
    </row>
    <row customHeight="1" ht="5.25" hidden="1">
      <c r="A85" s="1802"/>
      <c r="B85" s="1645"/>
      <c r="C85" s="1645"/>
      <c r="D85" s="2589"/>
      <c r="E85" s="1052"/>
      <c r="F85" s="1053"/>
      <c r="G85" s="1053"/>
      <c r="H85" s="1054"/>
      <c r="I85" s="1054"/>
      <c r="J85" s="1054"/>
      <c r="K85" s="1054"/>
      <c r="L85" s="1054"/>
      <c r="M85" s="1054"/>
      <c r="N85" s="1054"/>
      <c r="O85" s="1054"/>
      <c r="P85" s="1054"/>
      <c r="Q85" s="1054"/>
      <c r="R85" s="955"/>
      <c r="S85" s="1055"/>
      <c r="T85" s="727"/>
      <c r="U85" s="2383"/>
      <c r="V85" s="2383"/>
      <c r="W85" s="1645"/>
      <c r="X85" s="1645"/>
      <c r="Y85" s="1645"/>
      <c r="Z85" s="1645"/>
      <c r="AA85" s="1645"/>
      <c r="AB85" s="1645"/>
      <c r="AC85" s="1046"/>
      <c r="AD85" s="1047"/>
      <c r="AE85" s="1645"/>
      <c r="AF85" s="1645"/>
      <c r="AG85" s="1645"/>
      <c r="AH85" s="1645"/>
      <c r="AI85" s="1645"/>
      <c r="AJ85" s="1645"/>
      <c r="AK85" s="1645"/>
      <c r="AL85" s="1645"/>
      <c r="AM85" s="1645"/>
      <c r="AN85" s="1645"/>
      <c r="AO85" s="1645"/>
      <c r="AP85" s="1645"/>
      <c r="AQ85" s="1645"/>
      <c r="AR85" s="1645"/>
      <c r="AS85" s="1645"/>
      <c r="AT85" s="1645"/>
      <c r="AU85" s="1645"/>
      <c r="AV85" s="1645"/>
      <c r="AW85" s="1645"/>
      <c r="AX85" s="1645"/>
      <c r="AY85" s="1645"/>
      <c r="AZ85" s="1645"/>
      <c r="BA85" s="1645"/>
      <c r="BB85" s="1645"/>
      <c r="BC85" s="1645"/>
      <c r="BD85" s="1645"/>
      <c r="BE85" s="1645"/>
      <c r="BF85" s="1645"/>
      <c r="BG85" s="1645"/>
      <c r="BH85" s="1645"/>
      <c r="BI85" s="1645"/>
      <c r="BJ85" s="1645"/>
      <c r="BK85" s="1645"/>
      <c r="BL85" s="1645"/>
      <c r="BM85" s="1645"/>
      <c r="BN85" s="1645"/>
      <c r="BO85" s="1645"/>
      <c r="BP85" s="1645"/>
      <c r="BQ85" s="1645"/>
      <c r="BR85" s="1645"/>
      <c r="BS85" s="1645"/>
      <c r="BT85" s="1645"/>
      <c r="BU85" s="1645"/>
      <c r="BV85" s="1645"/>
      <c r="BW85" s="1645"/>
      <c r="BX85" s="1645"/>
      <c r="BY85" s="1645"/>
      <c r="BZ85" s="1645"/>
      <c r="CA85" s="1645"/>
      <c r="CB85" s="1645"/>
      <c r="CC85" s="1645"/>
      <c r="CD85" s="1645"/>
      <c r="CE85" s="1645"/>
      <c r="CF85" s="1325"/>
    </row>
    <row customHeight="1" ht="15" hidden="1">
      <c r="A86" s="632" t="s">
        <v>138</v>
      </c>
      <c r="B86" s="633"/>
      <c r="C86" s="633" t="s">
        <v>22</v>
      </c>
      <c r="D86" s="2587" t="s">
        <v>695</v>
      </c>
      <c r="E86" s="2386" t="s">
        <v>105</v>
      </c>
      <c r="F86" s="2387"/>
      <c r="G86" s="2388"/>
      <c r="H86" s="2392" t="str">
        <f>IF(A86="","",INDEX(DIFFERENTIATION_UNMERGE_VD,MATCH(A86,DIFFERENTIATION_ID_DIFF,0)))</f>
        <v>Производство тепловой энергии. Некомбинированная выработка</v>
      </c>
      <c r="I86" s="2392"/>
      <c r="J86" s="2392"/>
      <c r="K86" s="2392"/>
      <c r="L86" s="2392"/>
      <c r="M86" s="2392"/>
      <c r="N86" s="2392"/>
      <c r="O86" s="2392"/>
      <c r="P86" s="2392"/>
      <c r="Q86" s="2392"/>
      <c r="R86" s="2392"/>
      <c r="S86" s="728"/>
      <c r="T86" s="725"/>
      <c r="U86" s="634"/>
      <c r="V86" s="634"/>
      <c r="W86" s="635"/>
      <c r="X86" s="635"/>
      <c r="Y86" s="635"/>
      <c r="Z86" s="635"/>
      <c r="AA86" s="636"/>
      <c r="AB86" s="637"/>
      <c r="AC86" s="2384"/>
      <c r="AD86" s="638"/>
      <c r="AE86" s="639" t="s">
        <v>22</v>
      </c>
      <c r="AF86" s="639"/>
      <c r="AG86" s="640" t="s">
        <v>682</v>
      </c>
      <c r="AH86" s="641">
        <v>3</v>
      </c>
      <c r="AI86" s="634"/>
      <c r="AJ86" s="634"/>
      <c r="AK86" s="634"/>
      <c r="AL86" s="634"/>
      <c r="AM86" s="634"/>
      <c r="AN86" s="634"/>
      <c r="AO86" s="634"/>
      <c r="AP86" s="634"/>
      <c r="AQ86" s="634"/>
      <c r="AR86" s="634"/>
      <c r="AS86" s="634"/>
      <c r="AT86" s="634"/>
      <c r="AU86" s="634"/>
      <c r="AV86" s="634"/>
      <c r="AW86" s="634"/>
      <c r="AX86" s="634"/>
      <c r="AY86" s="634"/>
      <c r="AZ86" s="634"/>
      <c r="BA86" s="634"/>
      <c r="BB86" s="634"/>
      <c r="BC86" s="634"/>
      <c r="BD86" s="634"/>
      <c r="BE86" s="634"/>
      <c r="BF86" s="634"/>
      <c r="BG86" s="634"/>
      <c r="BH86" s="634"/>
      <c r="BI86" s="634"/>
      <c r="BJ86" s="634"/>
      <c r="BK86" s="634"/>
      <c r="BL86" s="634"/>
      <c r="BM86" s="634"/>
      <c r="BN86" s="634"/>
      <c r="BO86" s="634"/>
      <c r="BP86" s="634"/>
      <c r="BQ86" s="634"/>
      <c r="BR86" s="634"/>
      <c r="BS86" s="634"/>
      <c r="BT86" s="634"/>
      <c r="BU86" s="634"/>
      <c r="BV86" s="635"/>
      <c r="BW86" s="635"/>
      <c r="BX86" s="635"/>
      <c r="BY86" s="635"/>
      <c r="BZ86" s="635"/>
      <c r="CA86" s="635"/>
      <c r="CB86" s="635"/>
      <c r="CC86" s="635"/>
      <c r="CD86" s="635"/>
      <c r="CE86" s="635"/>
      <c r="CF86" s="1859"/>
    </row>
    <row customHeight="1" ht="15" hidden="1">
      <c r="A87" s="632"/>
      <c r="B87" s="633"/>
      <c r="C87" s="633"/>
      <c r="D87" s="2588"/>
      <c r="E87" s="2386" t="s">
        <v>637</v>
      </c>
      <c r="F87" s="2387"/>
      <c r="G87" s="2388"/>
      <c r="H87" s="2392" t="str">
        <f>IF(A86="","",INDEX(DIFFERENTIATION_UNMERGE_AREA,MATCH(A86,DIFFERENTIATION_ID_DIFF,0)))</f>
        <v>Территория 1</v>
      </c>
      <c r="I87" s="2392"/>
      <c r="J87" s="2392"/>
      <c r="K87" s="2392"/>
      <c r="L87" s="2392"/>
      <c r="M87" s="2392"/>
      <c r="N87" s="2392"/>
      <c r="O87" s="2392"/>
      <c r="P87" s="2392"/>
      <c r="Q87" s="2392"/>
      <c r="R87" s="2392"/>
      <c r="S87" s="728"/>
      <c r="T87" s="725"/>
      <c r="U87" s="634"/>
      <c r="V87" s="634"/>
      <c r="W87" s="635"/>
      <c r="X87" s="635"/>
      <c r="Y87" s="635"/>
      <c r="Z87" s="635"/>
      <c r="AA87" s="636"/>
      <c r="AB87" s="637"/>
      <c r="AC87" s="2384"/>
      <c r="AD87" s="638"/>
      <c r="AE87" s="639"/>
      <c r="AF87" s="639"/>
      <c r="AG87" s="640"/>
      <c r="AH87" s="641"/>
      <c r="AI87" s="634"/>
      <c r="AJ87" s="634"/>
      <c r="AK87" s="634"/>
      <c r="AL87" s="634"/>
      <c r="AM87" s="634"/>
      <c r="AN87" s="634"/>
      <c r="AO87" s="634"/>
      <c r="AP87" s="634"/>
      <c r="AQ87" s="634"/>
      <c r="AR87" s="634"/>
      <c r="AS87" s="634"/>
      <c r="AT87" s="634"/>
      <c r="AU87" s="634"/>
      <c r="AV87" s="634"/>
      <c r="AW87" s="634"/>
      <c r="AX87" s="634"/>
      <c r="AY87" s="634"/>
      <c r="AZ87" s="634"/>
      <c r="BA87" s="634"/>
      <c r="BB87" s="634"/>
      <c r="BC87" s="634"/>
      <c r="BD87" s="634"/>
      <c r="BE87" s="634"/>
      <c r="BF87" s="634"/>
      <c r="BG87" s="634"/>
      <c r="BH87" s="634"/>
      <c r="BI87" s="634"/>
      <c r="BJ87" s="634"/>
      <c r="BK87" s="634"/>
      <c r="BL87" s="634"/>
      <c r="BM87" s="634"/>
      <c r="BN87" s="634"/>
      <c r="BO87" s="634"/>
      <c r="BP87" s="634"/>
      <c r="BQ87" s="634"/>
      <c r="BR87" s="634"/>
      <c r="BS87" s="634"/>
      <c r="BT87" s="634"/>
      <c r="BU87" s="634"/>
      <c r="BV87" s="635"/>
      <c r="BW87" s="635"/>
      <c r="BX87" s="635"/>
      <c r="BY87" s="635"/>
      <c r="BZ87" s="635"/>
      <c r="CA87" s="635"/>
      <c r="CB87" s="635"/>
      <c r="CC87" s="635"/>
      <c r="CD87" s="635"/>
      <c r="CE87" s="635"/>
      <c r="CF87" s="1859"/>
    </row>
    <row customHeight="1" ht="15" hidden="1">
      <c r="A88" s="632"/>
      <c r="B88" s="633"/>
      <c r="C88" s="633"/>
      <c r="D88" s="2588"/>
      <c r="E88" s="2386" t="s">
        <v>638</v>
      </c>
      <c r="F88" s="2387"/>
      <c r="G88" s="2388"/>
      <c r="H88" s="2392" t="str">
        <f>IF(A86="","",INDEX(DIFFERENTIATION_UNMERGE_SYSTEM,MATCH(A86,DIFFERENTIATION_ID_DIFF,0)))</f>
        <v>Котельная №9, ул.Гоголя</v>
      </c>
      <c r="I88" s="2392"/>
      <c r="J88" s="2392"/>
      <c r="K88" s="2392"/>
      <c r="L88" s="2392"/>
      <c r="M88" s="2392"/>
      <c r="N88" s="2392"/>
      <c r="O88" s="2392"/>
      <c r="P88" s="2392"/>
      <c r="Q88" s="2392"/>
      <c r="R88" s="2392"/>
      <c r="S88" s="728"/>
      <c r="T88" s="725"/>
      <c r="U88" s="634"/>
      <c r="V88" s="634"/>
      <c r="W88" s="635"/>
      <c r="X88" s="635"/>
      <c r="Y88" s="635"/>
      <c r="Z88" s="635"/>
      <c r="AA88" s="636"/>
      <c r="AB88" s="637"/>
      <c r="AC88" s="2384"/>
      <c r="AD88" s="638"/>
      <c r="AE88" s="639"/>
      <c r="AF88" s="639"/>
      <c r="AG88" s="640"/>
      <c r="AH88" s="641"/>
      <c r="AI88" s="634"/>
      <c r="AJ88" s="634"/>
      <c r="AK88" s="634"/>
      <c r="AL88" s="634"/>
      <c r="AM88" s="634"/>
      <c r="AN88" s="634"/>
      <c r="AO88" s="634"/>
      <c r="AP88" s="634"/>
      <c r="AQ88" s="634"/>
      <c r="AR88" s="634"/>
      <c r="AS88" s="634"/>
      <c r="AT88" s="634"/>
      <c r="AU88" s="634"/>
      <c r="AV88" s="634"/>
      <c r="AW88" s="634"/>
      <c r="AX88" s="634"/>
      <c r="AY88" s="634"/>
      <c r="AZ88" s="634"/>
      <c r="BA88" s="634"/>
      <c r="BB88" s="634"/>
      <c r="BC88" s="634"/>
      <c r="BD88" s="634"/>
      <c r="BE88" s="634"/>
      <c r="BF88" s="634"/>
      <c r="BG88" s="634"/>
      <c r="BH88" s="634"/>
      <c r="BI88" s="634"/>
      <c r="BJ88" s="634"/>
      <c r="BK88" s="634"/>
      <c r="BL88" s="634"/>
      <c r="BM88" s="634"/>
      <c r="BN88" s="634"/>
      <c r="BO88" s="634"/>
      <c r="BP88" s="634"/>
      <c r="BQ88" s="634"/>
      <c r="BR88" s="634"/>
      <c r="BS88" s="634"/>
      <c r="BT88" s="634"/>
      <c r="BU88" s="634"/>
      <c r="BV88" s="635"/>
      <c r="BW88" s="635"/>
      <c r="BX88" s="635"/>
      <c r="BY88" s="635"/>
      <c r="BZ88" s="635"/>
      <c r="CA88" s="635"/>
      <c r="CB88" s="635"/>
      <c r="CC88" s="635"/>
      <c r="CD88" s="635"/>
      <c r="CE88" s="635"/>
      <c r="CF88" s="1859"/>
    </row>
    <row customHeight="1" ht="24.75" hidden="1">
      <c r="A89" s="1815"/>
      <c r="B89" s="1169"/>
      <c r="C89" s="421"/>
      <c r="D89" s="2588"/>
      <c r="E89" s="2385" t="s">
        <v>683</v>
      </c>
      <c r="F89" s="2385"/>
      <c r="G89" s="2385"/>
      <c r="H89" s="2385"/>
      <c r="I89" s="2385"/>
      <c r="J89" s="2385"/>
      <c r="K89" s="2385"/>
      <c r="L89" s="2385"/>
      <c r="M89" s="2385"/>
      <c r="N89" s="2385"/>
      <c r="O89" s="2385"/>
      <c r="P89" s="2385"/>
      <c r="Q89" s="567">
        <f>SUMIF(T90:T91,"i",Q90:Q91)</f>
        <v>0</v>
      </c>
      <c r="R89" s="1026"/>
      <c r="S89" s="1807" t="s">
        <v>684</v>
      </c>
      <c r="T89" s="726" t="s">
        <v>685</v>
      </c>
      <c r="U89" s="2383">
        <v>1</v>
      </c>
      <c r="V89" s="2383" t="s">
        <v>648</v>
      </c>
      <c r="W89" s="1169"/>
      <c r="X89" s="1169"/>
      <c r="Y89" s="1169"/>
      <c r="Z89" s="1169"/>
      <c r="AA89" s="1645"/>
      <c r="AB89" s="1169"/>
      <c r="AC89" s="2384"/>
      <c r="AD89" s="638"/>
      <c r="AE89" s="1169"/>
      <c r="AF89" s="1169"/>
      <c r="AG89" s="1645"/>
      <c r="AH89" s="1645"/>
      <c r="AI89" s="1645"/>
      <c r="AJ89" s="1645"/>
      <c r="AK89" s="1645"/>
      <c r="AL89" s="1645"/>
      <c r="AM89" s="1645"/>
      <c r="AN89" s="1645"/>
      <c r="AO89" s="1645"/>
      <c r="AP89" s="1645"/>
      <c r="AQ89" s="1645"/>
      <c r="AR89" s="1645"/>
      <c r="AS89" s="1645"/>
      <c r="AT89" s="1645"/>
      <c r="AU89" s="1645"/>
      <c r="AV89" s="1645"/>
      <c r="AW89" s="1645"/>
      <c r="AX89" s="1645"/>
      <c r="AY89" s="1645"/>
      <c r="AZ89" s="1645"/>
      <c r="BA89" s="1645"/>
      <c r="BB89" s="1645"/>
      <c r="BC89" s="1645"/>
      <c r="BD89" s="1645"/>
      <c r="BE89" s="1645"/>
      <c r="BF89" s="1645"/>
      <c r="BG89" s="1645"/>
      <c r="BH89" s="1645"/>
      <c r="BI89" s="1645"/>
      <c r="BJ89" s="1645"/>
      <c r="BK89" s="1645"/>
      <c r="BL89" s="1645"/>
      <c r="BM89" s="1645"/>
      <c r="BN89" s="1645"/>
      <c r="BO89" s="1645"/>
      <c r="BP89" s="1645"/>
      <c r="BQ89" s="1645"/>
      <c r="BR89" s="1645"/>
      <c r="BS89" s="1645"/>
      <c r="BT89" s="1645"/>
      <c r="BU89" s="1645"/>
      <c r="BV89" s="1169"/>
      <c r="BW89" s="1169"/>
      <c r="BX89" s="1169"/>
      <c r="BY89" s="1169"/>
      <c r="BZ89" s="1169"/>
      <c r="CA89" s="1169"/>
      <c r="CB89" s="1169"/>
      <c r="CC89" s="1169"/>
      <c r="CD89" s="1169"/>
      <c r="CE89" s="1169"/>
      <c r="CF89" s="1859"/>
    </row>
    <row customHeight="1" ht="11.25" hidden="1">
      <c r="A90" s="1802"/>
      <c r="B90" s="1645"/>
      <c r="C90" s="1645"/>
      <c r="D90" s="2588"/>
      <c r="E90" s="644"/>
      <c r="F90" s="644">
        <v>0</v>
      </c>
      <c r="G90" s="644"/>
      <c r="H90" s="644"/>
      <c r="I90" s="644"/>
      <c r="J90" s="644"/>
      <c r="K90" s="644"/>
      <c r="L90" s="644"/>
      <c r="M90" s="644"/>
      <c r="N90" s="644"/>
      <c r="O90" s="644"/>
      <c r="P90" s="644"/>
      <c r="Q90" s="644"/>
      <c r="R90" s="644"/>
      <c r="S90" s="645"/>
      <c r="T90" s="727"/>
      <c r="U90" s="2383"/>
      <c r="V90" s="2383"/>
      <c r="W90" s="1645"/>
      <c r="X90" s="1645"/>
      <c r="Y90" s="1645"/>
      <c r="Z90" s="1645"/>
      <c r="AA90" s="1645"/>
      <c r="AB90" s="1169"/>
      <c r="AC90" s="2384"/>
      <c r="AD90" s="638"/>
      <c r="AE90" s="1169"/>
      <c r="AF90" s="1169"/>
      <c r="AG90" s="1645"/>
      <c r="AH90" s="1645"/>
      <c r="AI90" s="1645"/>
      <c r="AJ90" s="1645"/>
      <c r="AK90" s="1645"/>
      <c r="AL90" s="1645"/>
      <c r="AM90" s="1645"/>
      <c r="AN90" s="1645"/>
      <c r="AO90" s="1645"/>
      <c r="AP90" s="1645"/>
      <c r="AQ90" s="1645"/>
      <c r="AR90" s="1645"/>
      <c r="AS90" s="1645"/>
      <c r="AT90" s="1645"/>
      <c r="AU90" s="1645"/>
      <c r="AV90" s="1645"/>
      <c r="AW90" s="1645"/>
      <c r="AX90" s="1645"/>
      <c r="AY90" s="1645"/>
      <c r="AZ90" s="1645"/>
      <c r="BA90" s="1645"/>
      <c r="BB90" s="1645"/>
      <c r="BC90" s="1645"/>
      <c r="BD90" s="1645"/>
      <c r="BE90" s="1645"/>
      <c r="BF90" s="1645"/>
      <c r="BG90" s="1645"/>
      <c r="BH90" s="1645"/>
      <c r="BI90" s="1645"/>
      <c r="BJ90" s="1645"/>
      <c r="BK90" s="1645"/>
      <c r="BL90" s="1645"/>
      <c r="BM90" s="1645"/>
      <c r="BN90" s="1645"/>
      <c r="BO90" s="1645"/>
      <c r="BP90" s="1645"/>
      <c r="BQ90" s="1645"/>
      <c r="BR90" s="1645"/>
      <c r="BS90" s="1645"/>
      <c r="BT90" s="1645"/>
      <c r="BU90" s="1645"/>
      <c r="BV90" s="1645"/>
      <c r="BW90" s="1645"/>
      <c r="BX90" s="1645"/>
      <c r="BY90" s="1645"/>
      <c r="BZ90" s="1645"/>
      <c r="CA90" s="1645"/>
      <c r="CB90" s="1645"/>
      <c r="CC90" s="1645"/>
      <c r="CD90" s="1645"/>
      <c r="CE90" s="1645"/>
      <c r="CF90" s="1859"/>
    </row>
    <row customHeight="1" ht="11.25" hidden="1">
      <c r="A91" s="1815"/>
      <c r="B91" s="1169"/>
      <c r="C91" s="421"/>
      <c r="D91" s="2588"/>
      <c r="E91" s="658" t="s">
        <v>22</v>
      </c>
      <c r="F91" s="1177" t="s">
        <v>22</v>
      </c>
      <c r="G91" s="1177" t="s">
        <v>688</v>
      </c>
      <c r="H91" s="660" t="s">
        <v>22</v>
      </c>
      <c r="I91" s="660"/>
      <c r="J91" s="660"/>
      <c r="K91" s="660"/>
      <c r="L91" s="660"/>
      <c r="M91" s="660"/>
      <c r="N91" s="660"/>
      <c r="O91" s="660"/>
      <c r="P91" s="660"/>
      <c r="Q91" s="660"/>
      <c r="R91" s="661"/>
      <c r="S91" s="662"/>
      <c r="T91" s="727"/>
      <c r="U91" s="2383"/>
      <c r="V91" s="2383"/>
      <c r="W91" s="1169"/>
      <c r="X91" s="1169"/>
      <c r="Y91" s="1169"/>
      <c r="Z91" s="1169"/>
      <c r="AA91" s="1645"/>
      <c r="AB91" s="1169"/>
      <c r="AC91" s="2384"/>
      <c r="AD91" s="638"/>
      <c r="AE91" s="1169"/>
      <c r="AF91" s="1169"/>
      <c r="AG91" s="1645"/>
      <c r="AH91" s="1645"/>
      <c r="AI91" s="1645"/>
      <c r="AJ91" s="1645"/>
      <c r="AK91" s="1645"/>
      <c r="AL91" s="1645"/>
      <c r="AM91" s="1645"/>
      <c r="AN91" s="1645"/>
      <c r="AO91" s="1645"/>
      <c r="AP91" s="1645"/>
      <c r="AQ91" s="1645"/>
      <c r="AR91" s="1645"/>
      <c r="AS91" s="1645"/>
      <c r="AT91" s="1645"/>
      <c r="AU91" s="1645"/>
      <c r="AV91" s="1645"/>
      <c r="AW91" s="1645"/>
      <c r="AX91" s="1645"/>
      <c r="AY91" s="1645"/>
      <c r="AZ91" s="1645"/>
      <c r="BA91" s="1645"/>
      <c r="BB91" s="1645"/>
      <c r="BC91" s="1645"/>
      <c r="BD91" s="1645"/>
      <c r="BE91" s="1645"/>
      <c r="BF91" s="1645"/>
      <c r="BG91" s="1645"/>
      <c r="BH91" s="1645"/>
      <c r="BI91" s="1645"/>
      <c r="BJ91" s="1645"/>
      <c r="BK91" s="1645"/>
      <c r="BL91" s="1645"/>
      <c r="BM91" s="1645"/>
      <c r="BN91" s="1645"/>
      <c r="BO91" s="1645"/>
      <c r="BP91" s="1645"/>
      <c r="BQ91" s="1645"/>
      <c r="BR91" s="1645"/>
      <c r="BS91" s="1645"/>
      <c r="BT91" s="1645"/>
      <c r="BU91" s="1645"/>
      <c r="BV91" s="1169"/>
      <c r="BW91" s="1169"/>
      <c r="BX91" s="1169"/>
      <c r="BY91" s="1169"/>
      <c r="BZ91" s="1169"/>
      <c r="CA91" s="1169"/>
      <c r="CB91" s="1169"/>
      <c r="CC91" s="1169"/>
      <c r="CD91" s="1169"/>
      <c r="CE91" s="1169"/>
      <c r="CF91" s="1859"/>
    </row>
    <row customHeight="1" ht="5.25" hidden="1">
      <c r="A92" s="1802"/>
      <c r="B92" s="1645"/>
      <c r="C92" s="1645"/>
      <c r="D92" s="2588"/>
      <c r="E92" s="1048"/>
      <c r="F92" s="1048"/>
      <c r="G92" s="1048"/>
      <c r="H92" s="1048"/>
      <c r="I92" s="1048"/>
      <c r="J92" s="1048"/>
      <c r="K92" s="1048"/>
      <c r="L92" s="1048"/>
      <c r="M92" s="1048"/>
      <c r="N92" s="1048"/>
      <c r="O92" s="1048"/>
      <c r="P92" s="1048"/>
      <c r="Q92" s="1049"/>
      <c r="R92" s="1050"/>
      <c r="S92" s="1051"/>
      <c r="T92" s="726" t="s">
        <v>685</v>
      </c>
      <c r="U92" s="2383">
        <v>1</v>
      </c>
      <c r="V92" s="2383" t="s">
        <v>648</v>
      </c>
      <c r="W92" s="1645"/>
      <c r="X92" s="1645"/>
      <c r="Y92" s="1645"/>
      <c r="Z92" s="1645"/>
      <c r="AA92" s="1645"/>
      <c r="AB92" s="1645"/>
      <c r="AC92" s="1046"/>
      <c r="AD92" s="1047"/>
      <c r="AE92" s="1645"/>
      <c r="AF92" s="1645"/>
      <c r="AG92" s="1645"/>
      <c r="AH92" s="1645"/>
      <c r="AI92" s="1645"/>
      <c r="AJ92" s="1645"/>
      <c r="AK92" s="1645"/>
      <c r="AL92" s="1645"/>
      <c r="AM92" s="1645"/>
      <c r="AN92" s="1645"/>
      <c r="AO92" s="1645"/>
      <c r="AP92" s="1645"/>
      <c r="AQ92" s="1645"/>
      <c r="AR92" s="1645"/>
      <c r="AS92" s="1645"/>
      <c r="AT92" s="1645"/>
      <c r="AU92" s="1645"/>
      <c r="AV92" s="1645"/>
      <c r="AW92" s="1645"/>
      <c r="AX92" s="1645"/>
      <c r="AY92" s="1645"/>
      <c r="AZ92" s="1645"/>
      <c r="BA92" s="1645"/>
      <c r="BB92" s="1645"/>
      <c r="BC92" s="1645"/>
      <c r="BD92" s="1645"/>
      <c r="BE92" s="1645"/>
      <c r="BF92" s="1645"/>
      <c r="BG92" s="1645"/>
      <c r="BH92" s="1645"/>
      <c r="BI92" s="1645"/>
      <c r="BJ92" s="1645"/>
      <c r="BK92" s="1645"/>
      <c r="BL92" s="1645"/>
      <c r="BM92" s="1645"/>
      <c r="BN92" s="1645"/>
      <c r="BO92" s="1645"/>
      <c r="BP92" s="1645"/>
      <c r="BQ92" s="1645"/>
      <c r="BR92" s="1645"/>
      <c r="BS92" s="1645"/>
      <c r="BT92" s="1645"/>
      <c r="BU92" s="1645"/>
      <c r="BV92" s="1645"/>
      <c r="BW92" s="1645"/>
      <c r="BX92" s="1645"/>
      <c r="BY92" s="1645"/>
      <c r="BZ92" s="1645"/>
      <c r="CA92" s="1645"/>
      <c r="CB92" s="1645"/>
      <c r="CC92" s="1645"/>
      <c r="CD92" s="1645"/>
      <c r="CE92" s="1645"/>
      <c r="CF92" s="1325"/>
    </row>
    <row customHeight="1" ht="5.25" hidden="1">
      <c r="A93" s="1802"/>
      <c r="B93" s="1645"/>
      <c r="C93" s="1645"/>
      <c r="D93" s="2588"/>
      <c r="E93" s="644"/>
      <c r="F93" s="644"/>
      <c r="G93" s="644"/>
      <c r="H93" s="644"/>
      <c r="I93" s="644"/>
      <c r="J93" s="644"/>
      <c r="K93" s="644"/>
      <c r="L93" s="644"/>
      <c r="M93" s="644"/>
      <c r="N93" s="644"/>
      <c r="O93" s="644"/>
      <c r="P93" s="644"/>
      <c r="Q93" s="644"/>
      <c r="R93" s="644"/>
      <c r="S93" s="645"/>
      <c r="T93" s="727"/>
      <c r="U93" s="2383"/>
      <c r="V93" s="2383"/>
      <c r="W93" s="1645"/>
      <c r="X93" s="1645"/>
      <c r="Y93" s="1645"/>
      <c r="Z93" s="1645"/>
      <c r="AA93" s="1645"/>
      <c r="AB93" s="1645"/>
      <c r="AC93" s="1046"/>
      <c r="AD93" s="1047"/>
      <c r="AE93" s="1645"/>
      <c r="AF93" s="1645"/>
      <c r="AG93" s="1645"/>
      <c r="AH93" s="1645"/>
      <c r="AI93" s="1645"/>
      <c r="AJ93" s="1645"/>
      <c r="AK93" s="1645"/>
      <c r="AL93" s="1645"/>
      <c r="AM93" s="1645"/>
      <c r="AN93" s="1645"/>
      <c r="AO93" s="1645"/>
      <c r="AP93" s="1645"/>
      <c r="AQ93" s="1645"/>
      <c r="AR93" s="1645"/>
      <c r="AS93" s="1645"/>
      <c r="AT93" s="1645"/>
      <c r="AU93" s="1645"/>
      <c r="AV93" s="1645"/>
      <c r="AW93" s="1645"/>
      <c r="AX93" s="1645"/>
      <c r="AY93" s="1645"/>
      <c r="AZ93" s="1645"/>
      <c r="BA93" s="1645"/>
      <c r="BB93" s="1645"/>
      <c r="BC93" s="1645"/>
      <c r="BD93" s="1645"/>
      <c r="BE93" s="1645"/>
      <c r="BF93" s="1645"/>
      <c r="BG93" s="1645"/>
      <c r="BH93" s="1645"/>
      <c r="BI93" s="1645"/>
      <c r="BJ93" s="1645"/>
      <c r="BK93" s="1645"/>
      <c r="BL93" s="1645"/>
      <c r="BM93" s="1645"/>
      <c r="BN93" s="1645"/>
      <c r="BO93" s="1645"/>
      <c r="BP93" s="1645"/>
      <c r="BQ93" s="1645"/>
      <c r="BR93" s="1645"/>
      <c r="BS93" s="1645"/>
      <c r="BT93" s="1645"/>
      <c r="BU93" s="1645"/>
      <c r="BV93" s="1645"/>
      <c r="BW93" s="1645"/>
      <c r="BX93" s="1645"/>
      <c r="BY93" s="1645"/>
      <c r="BZ93" s="1645"/>
      <c r="CA93" s="1645"/>
      <c r="CB93" s="1645"/>
      <c r="CC93" s="1645"/>
      <c r="CD93" s="1645"/>
      <c r="CE93" s="1645"/>
      <c r="CF93" s="1325"/>
    </row>
    <row customHeight="1" ht="5.25" hidden="1">
      <c r="A94" s="1802"/>
      <c r="B94" s="1645"/>
      <c r="C94" s="1645"/>
      <c r="D94" s="2589"/>
      <c r="E94" s="1052"/>
      <c r="F94" s="1053"/>
      <c r="G94" s="1053"/>
      <c r="H94" s="1054"/>
      <c r="I94" s="1054"/>
      <c r="J94" s="1054"/>
      <c r="K94" s="1054"/>
      <c r="L94" s="1054"/>
      <c r="M94" s="1054"/>
      <c r="N94" s="1054"/>
      <c r="O94" s="1054"/>
      <c r="P94" s="1054"/>
      <c r="Q94" s="1054"/>
      <c r="R94" s="955"/>
      <c r="S94" s="1055"/>
      <c r="T94" s="727"/>
      <c r="U94" s="2383"/>
      <c r="V94" s="2383"/>
      <c r="W94" s="1645"/>
      <c r="X94" s="1645"/>
      <c r="Y94" s="1645"/>
      <c r="Z94" s="1645"/>
      <c r="AA94" s="1645"/>
      <c r="AB94" s="1645"/>
      <c r="AC94" s="1046"/>
      <c r="AD94" s="1047"/>
      <c r="AE94" s="1645"/>
      <c r="AF94" s="1645"/>
      <c r="AG94" s="1645"/>
      <c r="AH94" s="1645"/>
      <c r="AI94" s="1645"/>
      <c r="AJ94" s="1645"/>
      <c r="AK94" s="1645"/>
      <c r="AL94" s="1645"/>
      <c r="AM94" s="1645"/>
      <c r="AN94" s="1645"/>
      <c r="AO94" s="1645"/>
      <c r="AP94" s="1645"/>
      <c r="AQ94" s="1645"/>
      <c r="AR94" s="1645"/>
      <c r="AS94" s="1645"/>
      <c r="AT94" s="1645"/>
      <c r="AU94" s="1645"/>
      <c r="AV94" s="1645"/>
      <c r="AW94" s="1645"/>
      <c r="AX94" s="1645"/>
      <c r="AY94" s="1645"/>
      <c r="AZ94" s="1645"/>
      <c r="BA94" s="1645"/>
      <c r="BB94" s="1645"/>
      <c r="BC94" s="1645"/>
      <c r="BD94" s="1645"/>
      <c r="BE94" s="1645"/>
      <c r="BF94" s="1645"/>
      <c r="BG94" s="1645"/>
      <c r="BH94" s="1645"/>
      <c r="BI94" s="1645"/>
      <c r="BJ94" s="1645"/>
      <c r="BK94" s="1645"/>
      <c r="BL94" s="1645"/>
      <c r="BM94" s="1645"/>
      <c r="BN94" s="1645"/>
      <c r="BO94" s="1645"/>
      <c r="BP94" s="1645"/>
      <c r="BQ94" s="1645"/>
      <c r="BR94" s="1645"/>
      <c r="BS94" s="1645"/>
      <c r="BT94" s="1645"/>
      <c r="BU94" s="1645"/>
      <c r="BV94" s="1645"/>
      <c r="BW94" s="1645"/>
      <c r="BX94" s="1645"/>
      <c r="BY94" s="1645"/>
      <c r="BZ94" s="1645"/>
      <c r="CA94" s="1645"/>
      <c r="CB94" s="1645"/>
      <c r="CC94" s="1645"/>
      <c r="CD94" s="1645"/>
      <c r="CE94" s="1645"/>
      <c r="CF94" s="1325"/>
    </row>
    <row customHeight="1" ht="15" hidden="1">
      <c r="A95" s="632" t="s">
        <v>141</v>
      </c>
      <c r="B95" s="633"/>
      <c r="C95" s="633" t="s">
        <v>22</v>
      </c>
      <c r="D95" s="2587" t="s">
        <v>696</v>
      </c>
      <c r="E95" s="2386" t="s">
        <v>105</v>
      </c>
      <c r="F95" s="2387"/>
      <c r="G95" s="2388"/>
      <c r="H95" s="2392" t="str">
        <f>IF(A95="","",INDEX(DIFFERENTIATION_UNMERGE_VD,MATCH(A95,DIFFERENTIATION_ID_DIFF,0)))</f>
        <v>Производство тепловой энергии. Некомбинированная выработка</v>
      </c>
      <c r="I95" s="2392"/>
      <c r="J95" s="2392"/>
      <c r="K95" s="2392"/>
      <c r="L95" s="2392"/>
      <c r="M95" s="2392"/>
      <c r="N95" s="2392"/>
      <c r="O95" s="2392"/>
      <c r="P95" s="2392"/>
      <c r="Q95" s="2392"/>
      <c r="R95" s="2392"/>
      <c r="S95" s="728"/>
      <c r="T95" s="725"/>
      <c r="U95" s="634"/>
      <c r="V95" s="634"/>
      <c r="W95" s="635"/>
      <c r="X95" s="635"/>
      <c r="Y95" s="635"/>
      <c r="Z95" s="635"/>
      <c r="AA95" s="636"/>
      <c r="AB95" s="637"/>
      <c r="AC95" s="2384"/>
      <c r="AD95" s="638"/>
      <c r="AE95" s="639" t="s">
        <v>22</v>
      </c>
      <c r="AF95" s="639"/>
      <c r="AG95" s="640" t="s">
        <v>682</v>
      </c>
      <c r="AH95" s="641">
        <v>3</v>
      </c>
      <c r="AI95" s="634"/>
      <c r="AJ95" s="634"/>
      <c r="AK95" s="634"/>
      <c r="AL95" s="634"/>
      <c r="AM95" s="634"/>
      <c r="AN95" s="634"/>
      <c r="AO95" s="634"/>
      <c r="AP95" s="634"/>
      <c r="AQ95" s="634"/>
      <c r="AR95" s="634"/>
      <c r="AS95" s="634"/>
      <c r="AT95" s="634"/>
      <c r="AU95" s="634"/>
      <c r="AV95" s="634"/>
      <c r="AW95" s="634"/>
      <c r="AX95" s="634"/>
      <c r="AY95" s="634"/>
      <c r="AZ95" s="634"/>
      <c r="BA95" s="634"/>
      <c r="BB95" s="634"/>
      <c r="BC95" s="634"/>
      <c r="BD95" s="634"/>
      <c r="BE95" s="634"/>
      <c r="BF95" s="634"/>
      <c r="BG95" s="634"/>
      <c r="BH95" s="634"/>
      <c r="BI95" s="634"/>
      <c r="BJ95" s="634"/>
      <c r="BK95" s="634"/>
      <c r="BL95" s="634"/>
      <c r="BM95" s="634"/>
      <c r="BN95" s="634"/>
      <c r="BO95" s="634"/>
      <c r="BP95" s="634"/>
      <c r="BQ95" s="634"/>
      <c r="BR95" s="634"/>
      <c r="BS95" s="634"/>
      <c r="BT95" s="634"/>
      <c r="BU95" s="634"/>
      <c r="BV95" s="635"/>
      <c r="BW95" s="635"/>
      <c r="BX95" s="635"/>
      <c r="BY95" s="635"/>
      <c r="BZ95" s="635"/>
      <c r="CA95" s="635"/>
      <c r="CB95" s="635"/>
      <c r="CC95" s="635"/>
      <c r="CD95" s="635"/>
      <c r="CE95" s="635"/>
      <c r="CF95" s="1859"/>
    </row>
    <row customHeight="1" ht="15" hidden="1">
      <c r="A96" s="632"/>
      <c r="B96" s="633"/>
      <c r="C96" s="633"/>
      <c r="D96" s="2588"/>
      <c r="E96" s="2386" t="s">
        <v>637</v>
      </c>
      <c r="F96" s="2387"/>
      <c r="G96" s="2388"/>
      <c r="H96" s="2392" t="str">
        <f>IF(A95="","",INDEX(DIFFERENTIATION_UNMERGE_AREA,MATCH(A95,DIFFERENTIATION_ID_DIFF,0)))</f>
        <v>Территория 1</v>
      </c>
      <c r="I96" s="2392"/>
      <c r="J96" s="2392"/>
      <c r="K96" s="2392"/>
      <c r="L96" s="2392"/>
      <c r="M96" s="2392"/>
      <c r="N96" s="2392"/>
      <c r="O96" s="2392"/>
      <c r="P96" s="2392"/>
      <c r="Q96" s="2392"/>
      <c r="R96" s="2392"/>
      <c r="S96" s="728"/>
      <c r="T96" s="725"/>
      <c r="U96" s="634"/>
      <c r="V96" s="634"/>
      <c r="W96" s="635"/>
      <c r="X96" s="635"/>
      <c r="Y96" s="635"/>
      <c r="Z96" s="635"/>
      <c r="AA96" s="636"/>
      <c r="AB96" s="637"/>
      <c r="AC96" s="2384"/>
      <c r="AD96" s="638"/>
      <c r="AE96" s="639"/>
      <c r="AF96" s="639"/>
      <c r="AG96" s="640"/>
      <c r="AH96" s="641"/>
      <c r="AI96" s="634"/>
      <c r="AJ96" s="634"/>
      <c r="AK96" s="634"/>
      <c r="AL96" s="634"/>
      <c r="AM96" s="634"/>
      <c r="AN96" s="634"/>
      <c r="AO96" s="634"/>
      <c r="AP96" s="634"/>
      <c r="AQ96" s="634"/>
      <c r="AR96" s="634"/>
      <c r="AS96" s="634"/>
      <c r="AT96" s="634"/>
      <c r="AU96" s="634"/>
      <c r="AV96" s="634"/>
      <c r="AW96" s="634"/>
      <c r="AX96" s="634"/>
      <c r="AY96" s="634"/>
      <c r="AZ96" s="634"/>
      <c r="BA96" s="634"/>
      <c r="BB96" s="634"/>
      <c r="BC96" s="634"/>
      <c r="BD96" s="634"/>
      <c r="BE96" s="634"/>
      <c r="BF96" s="634"/>
      <c r="BG96" s="634"/>
      <c r="BH96" s="634"/>
      <c r="BI96" s="634"/>
      <c r="BJ96" s="634"/>
      <c r="BK96" s="634"/>
      <c r="BL96" s="634"/>
      <c r="BM96" s="634"/>
      <c r="BN96" s="634"/>
      <c r="BO96" s="634"/>
      <c r="BP96" s="634"/>
      <c r="BQ96" s="634"/>
      <c r="BR96" s="634"/>
      <c r="BS96" s="634"/>
      <c r="BT96" s="634"/>
      <c r="BU96" s="634"/>
      <c r="BV96" s="635"/>
      <c r="BW96" s="635"/>
      <c r="BX96" s="635"/>
      <c r="BY96" s="635"/>
      <c r="BZ96" s="635"/>
      <c r="CA96" s="635"/>
      <c r="CB96" s="635"/>
      <c r="CC96" s="635"/>
      <c r="CD96" s="635"/>
      <c r="CE96" s="635"/>
      <c r="CF96" s="1859"/>
    </row>
    <row customHeight="1" ht="15" hidden="1">
      <c r="A97" s="632"/>
      <c r="B97" s="633"/>
      <c r="C97" s="633"/>
      <c r="D97" s="2588"/>
      <c r="E97" s="2386" t="s">
        <v>638</v>
      </c>
      <c r="F97" s="2387"/>
      <c r="G97" s="2388"/>
      <c r="H97" s="2392" t="str">
        <f>IF(A95="","",INDEX(DIFFERENTIATION_UNMERGE_SYSTEM,MATCH(A95,DIFFERENTIATION_ID_DIFF,0)))</f>
        <v>Котельная №10, ул.Гоголя</v>
      </c>
      <c r="I97" s="2392"/>
      <c r="J97" s="2392"/>
      <c r="K97" s="2392"/>
      <c r="L97" s="2392"/>
      <c r="M97" s="2392"/>
      <c r="N97" s="2392"/>
      <c r="O97" s="2392"/>
      <c r="P97" s="2392"/>
      <c r="Q97" s="2392"/>
      <c r="R97" s="2392"/>
      <c r="S97" s="728"/>
      <c r="T97" s="725"/>
      <c r="U97" s="634"/>
      <c r="V97" s="634"/>
      <c r="W97" s="635"/>
      <c r="X97" s="635"/>
      <c r="Y97" s="635"/>
      <c r="Z97" s="635"/>
      <c r="AA97" s="636"/>
      <c r="AB97" s="637"/>
      <c r="AC97" s="2384"/>
      <c r="AD97" s="638"/>
      <c r="AE97" s="639"/>
      <c r="AF97" s="639"/>
      <c r="AG97" s="640"/>
      <c r="AH97" s="641"/>
      <c r="AI97" s="634"/>
      <c r="AJ97" s="634"/>
      <c r="AK97" s="634"/>
      <c r="AL97" s="634"/>
      <c r="AM97" s="634"/>
      <c r="AN97" s="634"/>
      <c r="AO97" s="634"/>
      <c r="AP97" s="634"/>
      <c r="AQ97" s="634"/>
      <c r="AR97" s="634"/>
      <c r="AS97" s="634"/>
      <c r="AT97" s="634"/>
      <c r="AU97" s="634"/>
      <c r="AV97" s="634"/>
      <c r="AW97" s="634"/>
      <c r="AX97" s="634"/>
      <c r="AY97" s="634"/>
      <c r="AZ97" s="634"/>
      <c r="BA97" s="634"/>
      <c r="BB97" s="634"/>
      <c r="BC97" s="634"/>
      <c r="BD97" s="634"/>
      <c r="BE97" s="634"/>
      <c r="BF97" s="634"/>
      <c r="BG97" s="634"/>
      <c r="BH97" s="634"/>
      <c r="BI97" s="634"/>
      <c r="BJ97" s="634"/>
      <c r="BK97" s="634"/>
      <c r="BL97" s="634"/>
      <c r="BM97" s="634"/>
      <c r="BN97" s="634"/>
      <c r="BO97" s="634"/>
      <c r="BP97" s="634"/>
      <c r="BQ97" s="634"/>
      <c r="BR97" s="634"/>
      <c r="BS97" s="634"/>
      <c r="BT97" s="634"/>
      <c r="BU97" s="634"/>
      <c r="BV97" s="635"/>
      <c r="BW97" s="635"/>
      <c r="BX97" s="635"/>
      <c r="BY97" s="635"/>
      <c r="BZ97" s="635"/>
      <c r="CA97" s="635"/>
      <c r="CB97" s="635"/>
      <c r="CC97" s="635"/>
      <c r="CD97" s="635"/>
      <c r="CE97" s="635"/>
      <c r="CF97" s="1859"/>
    </row>
    <row customHeight="1" ht="24.75" hidden="1">
      <c r="A98" s="1815"/>
      <c r="B98" s="1169"/>
      <c r="C98" s="421"/>
      <c r="D98" s="2588"/>
      <c r="E98" s="2385" t="s">
        <v>683</v>
      </c>
      <c r="F98" s="2385"/>
      <c r="G98" s="2385"/>
      <c r="H98" s="2385"/>
      <c r="I98" s="2385"/>
      <c r="J98" s="2385"/>
      <c r="K98" s="2385"/>
      <c r="L98" s="2385"/>
      <c r="M98" s="2385"/>
      <c r="N98" s="2385"/>
      <c r="O98" s="2385"/>
      <c r="P98" s="2385"/>
      <c r="Q98" s="567">
        <f>SUMIF(T99:T100,"i",Q99:Q100)</f>
        <v>0</v>
      </c>
      <c r="R98" s="1026"/>
      <c r="S98" s="1807" t="s">
        <v>684</v>
      </c>
      <c r="T98" s="726" t="s">
        <v>685</v>
      </c>
      <c r="U98" s="2383">
        <v>1</v>
      </c>
      <c r="V98" s="2383" t="s">
        <v>648</v>
      </c>
      <c r="W98" s="1169"/>
      <c r="X98" s="1169"/>
      <c r="Y98" s="1169"/>
      <c r="Z98" s="1169"/>
      <c r="AA98" s="1645"/>
      <c r="AB98" s="1169"/>
      <c r="AC98" s="2384"/>
      <c r="AD98" s="638"/>
      <c r="AE98" s="1169"/>
      <c r="AF98" s="1169"/>
      <c r="AG98" s="1645"/>
      <c r="AH98" s="1645"/>
      <c r="AI98" s="1645"/>
      <c r="AJ98" s="1645"/>
      <c r="AK98" s="1645"/>
      <c r="AL98" s="1645"/>
      <c r="AM98" s="1645"/>
      <c r="AN98" s="1645"/>
      <c r="AO98" s="1645"/>
      <c r="AP98" s="1645"/>
      <c r="AQ98" s="1645"/>
      <c r="AR98" s="1645"/>
      <c r="AS98" s="1645"/>
      <c r="AT98" s="1645"/>
      <c r="AU98" s="1645"/>
      <c r="AV98" s="1645"/>
      <c r="AW98" s="1645"/>
      <c r="AX98" s="1645"/>
      <c r="AY98" s="1645"/>
      <c r="AZ98" s="1645"/>
      <c r="BA98" s="1645"/>
      <c r="BB98" s="1645"/>
      <c r="BC98" s="1645"/>
      <c r="BD98" s="1645"/>
      <c r="BE98" s="1645"/>
      <c r="BF98" s="1645"/>
      <c r="BG98" s="1645"/>
      <c r="BH98" s="1645"/>
      <c r="BI98" s="1645"/>
      <c r="BJ98" s="1645"/>
      <c r="BK98" s="1645"/>
      <c r="BL98" s="1645"/>
      <c r="BM98" s="1645"/>
      <c r="BN98" s="1645"/>
      <c r="BO98" s="1645"/>
      <c r="BP98" s="1645"/>
      <c r="BQ98" s="1645"/>
      <c r="BR98" s="1645"/>
      <c r="BS98" s="1645"/>
      <c r="BT98" s="1645"/>
      <c r="BU98" s="1645"/>
      <c r="BV98" s="1169"/>
      <c r="BW98" s="1169"/>
      <c r="BX98" s="1169"/>
      <c r="BY98" s="1169"/>
      <c r="BZ98" s="1169"/>
      <c r="CA98" s="1169"/>
      <c r="CB98" s="1169"/>
      <c r="CC98" s="1169"/>
      <c r="CD98" s="1169"/>
      <c r="CE98" s="1169"/>
      <c r="CF98" s="1859"/>
    </row>
    <row customHeight="1" ht="11.25" hidden="1">
      <c r="A99" s="1802"/>
      <c r="B99" s="1645"/>
      <c r="C99" s="1645"/>
      <c r="D99" s="2588"/>
      <c r="E99" s="644"/>
      <c r="F99" s="644">
        <v>0</v>
      </c>
      <c r="G99" s="644"/>
      <c r="H99" s="644"/>
      <c r="I99" s="644"/>
      <c r="J99" s="644"/>
      <c r="K99" s="644"/>
      <c r="L99" s="644"/>
      <c r="M99" s="644"/>
      <c r="N99" s="644"/>
      <c r="O99" s="644"/>
      <c r="P99" s="644"/>
      <c r="Q99" s="644"/>
      <c r="R99" s="644"/>
      <c r="S99" s="645"/>
      <c r="T99" s="727"/>
      <c r="U99" s="2383"/>
      <c r="V99" s="2383"/>
      <c r="W99" s="1645"/>
      <c r="X99" s="1645"/>
      <c r="Y99" s="1645"/>
      <c r="Z99" s="1645"/>
      <c r="AA99" s="1645"/>
      <c r="AB99" s="1169"/>
      <c r="AC99" s="2384"/>
      <c r="AD99" s="638"/>
      <c r="AE99" s="1169"/>
      <c r="AF99" s="1169"/>
      <c r="AG99" s="1645"/>
      <c r="AH99" s="1645"/>
      <c r="AI99" s="1645"/>
      <c r="AJ99" s="1645"/>
      <c r="AK99" s="1645"/>
      <c r="AL99" s="1645"/>
      <c r="AM99" s="1645"/>
      <c r="AN99" s="1645"/>
      <c r="AO99" s="1645"/>
      <c r="AP99" s="1645"/>
      <c r="AQ99" s="1645"/>
      <c r="AR99" s="1645"/>
      <c r="AS99" s="1645"/>
      <c r="AT99" s="1645"/>
      <c r="AU99" s="1645"/>
      <c r="AV99" s="1645"/>
      <c r="AW99" s="1645"/>
      <c r="AX99" s="1645"/>
      <c r="AY99" s="1645"/>
      <c r="AZ99" s="1645"/>
      <c r="BA99" s="1645"/>
      <c r="BB99" s="1645"/>
      <c r="BC99" s="1645"/>
      <c r="BD99" s="1645"/>
      <c r="BE99" s="1645"/>
      <c r="BF99" s="1645"/>
      <c r="BG99" s="1645"/>
      <c r="BH99" s="1645"/>
      <c r="BI99" s="1645"/>
      <c r="BJ99" s="1645"/>
      <c r="BK99" s="1645"/>
      <c r="BL99" s="1645"/>
      <c r="BM99" s="1645"/>
      <c r="BN99" s="1645"/>
      <c r="BO99" s="1645"/>
      <c r="BP99" s="1645"/>
      <c r="BQ99" s="1645"/>
      <c r="BR99" s="1645"/>
      <c r="BS99" s="1645"/>
      <c r="BT99" s="1645"/>
      <c r="BU99" s="1645"/>
      <c r="BV99" s="1645"/>
      <c r="BW99" s="1645"/>
      <c r="BX99" s="1645"/>
      <c r="BY99" s="1645"/>
      <c r="BZ99" s="1645"/>
      <c r="CA99" s="1645"/>
      <c r="CB99" s="1645"/>
      <c r="CC99" s="1645"/>
      <c r="CD99" s="1645"/>
      <c r="CE99" s="1645"/>
      <c r="CF99" s="1859"/>
    </row>
    <row customHeight="1" ht="11.25" hidden="1">
      <c r="A100" s="1815"/>
      <c r="B100" s="1169"/>
      <c r="C100" s="421"/>
      <c r="D100" s="2588"/>
      <c r="E100" s="658" t="s">
        <v>22</v>
      </c>
      <c r="F100" s="1177" t="s">
        <v>22</v>
      </c>
      <c r="G100" s="1177" t="s">
        <v>688</v>
      </c>
      <c r="H100" s="660" t="s">
        <v>22</v>
      </c>
      <c r="I100" s="660"/>
      <c r="J100" s="660"/>
      <c r="K100" s="660"/>
      <c r="L100" s="660"/>
      <c r="M100" s="660"/>
      <c r="N100" s="660"/>
      <c r="O100" s="660"/>
      <c r="P100" s="660"/>
      <c r="Q100" s="660"/>
      <c r="R100" s="661"/>
      <c r="S100" s="662"/>
      <c r="T100" s="727"/>
      <c r="U100" s="2383"/>
      <c r="V100" s="2383"/>
      <c r="W100" s="1169"/>
      <c r="X100" s="1169"/>
      <c r="Y100" s="1169"/>
      <c r="Z100" s="1169"/>
      <c r="AA100" s="1645"/>
      <c r="AB100" s="1169"/>
      <c r="AC100" s="2384"/>
      <c r="AD100" s="638"/>
      <c r="AE100" s="1169"/>
      <c r="AF100" s="1169"/>
      <c r="AG100" s="1645"/>
      <c r="AH100" s="1645"/>
      <c r="AI100" s="1645"/>
      <c r="AJ100" s="1645"/>
      <c r="AK100" s="1645"/>
      <c r="AL100" s="1645"/>
      <c r="AM100" s="1645"/>
      <c r="AN100" s="1645"/>
      <c r="AO100" s="1645"/>
      <c r="AP100" s="1645"/>
      <c r="AQ100" s="1645"/>
      <c r="AR100" s="1645"/>
      <c r="AS100" s="1645"/>
      <c r="AT100" s="1645"/>
      <c r="AU100" s="1645"/>
      <c r="AV100" s="1645"/>
      <c r="AW100" s="1645"/>
      <c r="AX100" s="1645"/>
      <c r="AY100" s="1645"/>
      <c r="AZ100" s="1645"/>
      <c r="BA100" s="1645"/>
      <c r="BB100" s="1645"/>
      <c r="BC100" s="1645"/>
      <c r="BD100" s="1645"/>
      <c r="BE100" s="1645"/>
      <c r="BF100" s="1645"/>
      <c r="BG100" s="1645"/>
      <c r="BH100" s="1645"/>
      <c r="BI100" s="1645"/>
      <c r="BJ100" s="1645"/>
      <c r="BK100" s="1645"/>
      <c r="BL100" s="1645"/>
      <c r="BM100" s="1645"/>
      <c r="BN100" s="1645"/>
      <c r="BO100" s="1645"/>
      <c r="BP100" s="1645"/>
      <c r="BQ100" s="1645"/>
      <c r="BR100" s="1645"/>
      <c r="BS100" s="1645"/>
      <c r="BT100" s="1645"/>
      <c r="BU100" s="1645"/>
      <c r="BV100" s="1169"/>
      <c r="BW100" s="1169"/>
      <c r="BX100" s="1169"/>
      <c r="BY100" s="1169"/>
      <c r="BZ100" s="1169"/>
      <c r="CA100" s="1169"/>
      <c r="CB100" s="1169"/>
      <c r="CC100" s="1169"/>
      <c r="CD100" s="1169"/>
      <c r="CE100" s="1169"/>
      <c r="CF100" s="1859"/>
    </row>
    <row customHeight="1" ht="5.25" hidden="1">
      <c r="A101" s="1802"/>
      <c r="B101" s="1645"/>
      <c r="C101" s="1645"/>
      <c r="D101" s="2588"/>
      <c r="E101" s="1048"/>
      <c r="F101" s="1048"/>
      <c r="G101" s="1048"/>
      <c r="H101" s="1048"/>
      <c r="I101" s="1048"/>
      <c r="J101" s="1048"/>
      <c r="K101" s="1048"/>
      <c r="L101" s="1048"/>
      <c r="M101" s="1048"/>
      <c r="N101" s="1048"/>
      <c r="O101" s="1048"/>
      <c r="P101" s="1048"/>
      <c r="Q101" s="1049"/>
      <c r="R101" s="1050"/>
      <c r="S101" s="1051"/>
      <c r="T101" s="726" t="s">
        <v>685</v>
      </c>
      <c r="U101" s="2383">
        <v>1</v>
      </c>
      <c r="V101" s="2383" t="s">
        <v>648</v>
      </c>
      <c r="W101" s="1645"/>
      <c r="X101" s="1645"/>
      <c r="Y101" s="1645"/>
      <c r="Z101" s="1645"/>
      <c r="AA101" s="1645"/>
      <c r="AB101" s="1645"/>
      <c r="AC101" s="1046"/>
      <c r="AD101" s="1047"/>
      <c r="AE101" s="1645"/>
      <c r="AF101" s="1645"/>
      <c r="AG101" s="1645"/>
      <c r="AH101" s="1645"/>
      <c r="AI101" s="1645"/>
      <c r="AJ101" s="1645"/>
      <c r="AK101" s="1645"/>
      <c r="AL101" s="1645"/>
      <c r="AM101" s="1645"/>
      <c r="AN101" s="1645"/>
      <c r="AO101" s="1645"/>
      <c r="AP101" s="1645"/>
      <c r="AQ101" s="1645"/>
      <c r="AR101" s="1645"/>
      <c r="AS101" s="1645"/>
      <c r="AT101" s="1645"/>
      <c r="AU101" s="1645"/>
      <c r="AV101" s="1645"/>
      <c r="AW101" s="1645"/>
      <c r="AX101" s="1645"/>
      <c r="AY101" s="1645"/>
      <c r="AZ101" s="1645"/>
      <c r="BA101" s="1645"/>
      <c r="BB101" s="1645"/>
      <c r="BC101" s="1645"/>
      <c r="BD101" s="1645"/>
      <c r="BE101" s="1645"/>
      <c r="BF101" s="1645"/>
      <c r="BG101" s="1645"/>
      <c r="BH101" s="1645"/>
      <c r="BI101" s="1645"/>
      <c r="BJ101" s="1645"/>
      <c r="BK101" s="1645"/>
      <c r="BL101" s="1645"/>
      <c r="BM101" s="1645"/>
      <c r="BN101" s="1645"/>
      <c r="BO101" s="1645"/>
      <c r="BP101" s="1645"/>
      <c r="BQ101" s="1645"/>
      <c r="BR101" s="1645"/>
      <c r="BS101" s="1645"/>
      <c r="BT101" s="1645"/>
      <c r="BU101" s="1645"/>
      <c r="BV101" s="1645"/>
      <c r="BW101" s="1645"/>
      <c r="BX101" s="1645"/>
      <c r="BY101" s="1645"/>
      <c r="BZ101" s="1645"/>
      <c r="CA101" s="1645"/>
      <c r="CB101" s="1645"/>
      <c r="CC101" s="1645"/>
      <c r="CD101" s="1645"/>
      <c r="CE101" s="1645"/>
      <c r="CF101" s="1325"/>
    </row>
    <row customHeight="1" ht="5.25" hidden="1">
      <c r="A102" s="1802"/>
      <c r="B102" s="1645"/>
      <c r="C102" s="1645"/>
      <c r="D102" s="2588"/>
      <c r="E102" s="644"/>
      <c r="F102" s="644"/>
      <c r="G102" s="644"/>
      <c r="H102" s="644"/>
      <c r="I102" s="644"/>
      <c r="J102" s="644"/>
      <c r="K102" s="644"/>
      <c r="L102" s="644"/>
      <c r="M102" s="644"/>
      <c r="N102" s="644"/>
      <c r="O102" s="644"/>
      <c r="P102" s="644"/>
      <c r="Q102" s="644"/>
      <c r="R102" s="644"/>
      <c r="S102" s="645"/>
      <c r="T102" s="727"/>
      <c r="U102" s="2383"/>
      <c r="V102" s="2383"/>
      <c r="W102" s="1645"/>
      <c r="X102" s="1645"/>
      <c r="Y102" s="1645"/>
      <c r="Z102" s="1645"/>
      <c r="AA102" s="1645"/>
      <c r="AB102" s="1645"/>
      <c r="AC102" s="1046"/>
      <c r="AD102" s="1047"/>
      <c r="AE102" s="1645"/>
      <c r="AF102" s="1645"/>
      <c r="AG102" s="1645"/>
      <c r="AH102" s="1645"/>
      <c r="AI102" s="1645"/>
      <c r="AJ102" s="1645"/>
      <c r="AK102" s="1645"/>
      <c r="AL102" s="1645"/>
      <c r="AM102" s="1645"/>
      <c r="AN102" s="1645"/>
      <c r="AO102" s="1645"/>
      <c r="AP102" s="1645"/>
      <c r="AQ102" s="1645"/>
      <c r="AR102" s="1645"/>
      <c r="AS102" s="1645"/>
      <c r="AT102" s="1645"/>
      <c r="AU102" s="1645"/>
      <c r="AV102" s="1645"/>
      <c r="AW102" s="1645"/>
      <c r="AX102" s="1645"/>
      <c r="AY102" s="1645"/>
      <c r="AZ102" s="1645"/>
      <c r="BA102" s="1645"/>
      <c r="BB102" s="1645"/>
      <c r="BC102" s="1645"/>
      <c r="BD102" s="1645"/>
      <c r="BE102" s="1645"/>
      <c r="BF102" s="1645"/>
      <c r="BG102" s="1645"/>
      <c r="BH102" s="1645"/>
      <c r="BI102" s="1645"/>
      <c r="BJ102" s="1645"/>
      <c r="BK102" s="1645"/>
      <c r="BL102" s="1645"/>
      <c r="BM102" s="1645"/>
      <c r="BN102" s="1645"/>
      <c r="BO102" s="1645"/>
      <c r="BP102" s="1645"/>
      <c r="BQ102" s="1645"/>
      <c r="BR102" s="1645"/>
      <c r="BS102" s="1645"/>
      <c r="BT102" s="1645"/>
      <c r="BU102" s="1645"/>
      <c r="BV102" s="1645"/>
      <c r="BW102" s="1645"/>
      <c r="BX102" s="1645"/>
      <c r="BY102" s="1645"/>
      <c r="BZ102" s="1645"/>
      <c r="CA102" s="1645"/>
      <c r="CB102" s="1645"/>
      <c r="CC102" s="1645"/>
      <c r="CD102" s="1645"/>
      <c r="CE102" s="1645"/>
      <c r="CF102" s="1325"/>
    </row>
    <row customHeight="1" ht="5.25" hidden="1">
      <c r="A103" s="1802"/>
      <c r="B103" s="1645"/>
      <c r="C103" s="1645"/>
      <c r="D103" s="2589"/>
      <c r="E103" s="1052"/>
      <c r="F103" s="1053"/>
      <c r="G103" s="1053"/>
      <c r="H103" s="1054"/>
      <c r="I103" s="1054"/>
      <c r="J103" s="1054"/>
      <c r="K103" s="1054"/>
      <c r="L103" s="1054"/>
      <c r="M103" s="1054"/>
      <c r="N103" s="1054"/>
      <c r="O103" s="1054"/>
      <c r="P103" s="1054"/>
      <c r="Q103" s="1054"/>
      <c r="R103" s="955"/>
      <c r="S103" s="1055"/>
      <c r="T103" s="727"/>
      <c r="U103" s="2383"/>
      <c r="V103" s="2383"/>
      <c r="W103" s="1645"/>
      <c r="X103" s="1645"/>
      <c r="Y103" s="1645"/>
      <c r="Z103" s="1645"/>
      <c r="AA103" s="1645"/>
      <c r="AB103" s="1645"/>
      <c r="AC103" s="1046"/>
      <c r="AD103" s="1047"/>
      <c r="AE103" s="1645"/>
      <c r="AF103" s="1645"/>
      <c r="AG103" s="1645"/>
      <c r="AH103" s="1645"/>
      <c r="AI103" s="1645"/>
      <c r="AJ103" s="1645"/>
      <c r="AK103" s="1645"/>
      <c r="AL103" s="1645"/>
      <c r="AM103" s="1645"/>
      <c r="AN103" s="1645"/>
      <c r="AO103" s="1645"/>
      <c r="AP103" s="1645"/>
      <c r="AQ103" s="1645"/>
      <c r="AR103" s="1645"/>
      <c r="AS103" s="1645"/>
      <c r="AT103" s="1645"/>
      <c r="AU103" s="1645"/>
      <c r="AV103" s="1645"/>
      <c r="AW103" s="1645"/>
      <c r="AX103" s="1645"/>
      <c r="AY103" s="1645"/>
      <c r="AZ103" s="1645"/>
      <c r="BA103" s="1645"/>
      <c r="BB103" s="1645"/>
      <c r="BC103" s="1645"/>
      <c r="BD103" s="1645"/>
      <c r="BE103" s="1645"/>
      <c r="BF103" s="1645"/>
      <c r="BG103" s="1645"/>
      <c r="BH103" s="1645"/>
      <c r="BI103" s="1645"/>
      <c r="BJ103" s="1645"/>
      <c r="BK103" s="1645"/>
      <c r="BL103" s="1645"/>
      <c r="BM103" s="1645"/>
      <c r="BN103" s="1645"/>
      <c r="BO103" s="1645"/>
      <c r="BP103" s="1645"/>
      <c r="BQ103" s="1645"/>
      <c r="BR103" s="1645"/>
      <c r="BS103" s="1645"/>
      <c r="BT103" s="1645"/>
      <c r="BU103" s="1645"/>
      <c r="BV103" s="1645"/>
      <c r="BW103" s="1645"/>
      <c r="BX103" s="1645"/>
      <c r="BY103" s="1645"/>
      <c r="BZ103" s="1645"/>
      <c r="CA103" s="1645"/>
      <c r="CB103" s="1645"/>
      <c r="CC103" s="1645"/>
      <c r="CD103" s="1645"/>
      <c r="CE103" s="1645"/>
      <c r="CF103" s="1325"/>
    </row>
    <row customHeight="1" ht="15" hidden="1">
      <c r="A104" s="632" t="s">
        <v>144</v>
      </c>
      <c r="B104" s="633"/>
      <c r="C104" s="633" t="s">
        <v>22</v>
      </c>
      <c r="D104" s="2587" t="s">
        <v>697</v>
      </c>
      <c r="E104" s="2386" t="s">
        <v>105</v>
      </c>
      <c r="F104" s="2387"/>
      <c r="G104" s="2388"/>
      <c r="H104" s="2392" t="str">
        <f>IF(A104="","",INDEX(DIFFERENTIATION_UNMERGE_VD,MATCH(A104,DIFFERENTIATION_ID_DIFF,0)))</f>
        <v>Производство тепловой энергии. Некомбинированная выработка</v>
      </c>
      <c r="I104" s="2392"/>
      <c r="J104" s="2392"/>
      <c r="K104" s="2392"/>
      <c r="L104" s="2392"/>
      <c r="M104" s="2392"/>
      <c r="N104" s="2392"/>
      <c r="O104" s="2392"/>
      <c r="P104" s="2392"/>
      <c r="Q104" s="2392"/>
      <c r="R104" s="2392"/>
      <c r="S104" s="728"/>
      <c r="T104" s="725"/>
      <c r="U104" s="634"/>
      <c r="V104" s="634"/>
      <c r="W104" s="635"/>
      <c r="X104" s="635"/>
      <c r="Y104" s="635"/>
      <c r="Z104" s="635"/>
      <c r="AA104" s="636"/>
      <c r="AB104" s="637"/>
      <c r="AC104" s="2384"/>
      <c r="AD104" s="638"/>
      <c r="AE104" s="639" t="s">
        <v>22</v>
      </c>
      <c r="AF104" s="639"/>
      <c r="AG104" s="640" t="s">
        <v>682</v>
      </c>
      <c r="AH104" s="641">
        <v>3</v>
      </c>
      <c r="AI104" s="634"/>
      <c r="AJ104" s="634"/>
      <c r="AK104" s="634"/>
      <c r="AL104" s="634"/>
      <c r="AM104" s="634"/>
      <c r="AN104" s="634"/>
      <c r="AO104" s="634"/>
      <c r="AP104" s="634"/>
      <c r="AQ104" s="634"/>
      <c r="AR104" s="634"/>
      <c r="AS104" s="634"/>
      <c r="AT104" s="634"/>
      <c r="AU104" s="634"/>
      <c r="AV104" s="634"/>
      <c r="AW104" s="634"/>
      <c r="AX104" s="634"/>
      <c r="AY104" s="634"/>
      <c r="AZ104" s="634"/>
      <c r="BA104" s="634"/>
      <c r="BB104" s="634"/>
      <c r="BC104" s="634"/>
      <c r="BD104" s="634"/>
      <c r="BE104" s="634"/>
      <c r="BF104" s="634"/>
      <c r="BG104" s="634"/>
      <c r="BH104" s="634"/>
      <c r="BI104" s="634"/>
      <c r="BJ104" s="634"/>
      <c r="BK104" s="634"/>
      <c r="BL104" s="634"/>
      <c r="BM104" s="634"/>
      <c r="BN104" s="634"/>
      <c r="BO104" s="634"/>
      <c r="BP104" s="634"/>
      <c r="BQ104" s="634"/>
      <c r="BR104" s="634"/>
      <c r="BS104" s="634"/>
      <c r="BT104" s="634"/>
      <c r="BU104" s="634"/>
      <c r="BV104" s="635"/>
      <c r="BW104" s="635"/>
      <c r="BX104" s="635"/>
      <c r="BY104" s="635"/>
      <c r="BZ104" s="635"/>
      <c r="CA104" s="635"/>
      <c r="CB104" s="635"/>
      <c r="CC104" s="635"/>
      <c r="CD104" s="635"/>
      <c r="CE104" s="635"/>
      <c r="CF104" s="1859"/>
    </row>
    <row customHeight="1" ht="15" hidden="1">
      <c r="A105" s="632"/>
      <c r="B105" s="633"/>
      <c r="C105" s="633"/>
      <c r="D105" s="2588"/>
      <c r="E105" s="2386" t="s">
        <v>637</v>
      </c>
      <c r="F105" s="2387"/>
      <c r="G105" s="2388"/>
      <c r="H105" s="2392" t="str">
        <f>IF(A104="","",INDEX(DIFFERENTIATION_UNMERGE_AREA,MATCH(A104,DIFFERENTIATION_ID_DIFF,0)))</f>
        <v>Территория 1</v>
      </c>
      <c r="I105" s="2392"/>
      <c r="J105" s="2392"/>
      <c r="K105" s="2392"/>
      <c r="L105" s="2392"/>
      <c r="M105" s="2392"/>
      <c r="N105" s="2392"/>
      <c r="O105" s="2392"/>
      <c r="P105" s="2392"/>
      <c r="Q105" s="2392"/>
      <c r="R105" s="2392"/>
      <c r="S105" s="728"/>
      <c r="T105" s="725"/>
      <c r="U105" s="634"/>
      <c r="V105" s="634"/>
      <c r="W105" s="635"/>
      <c r="X105" s="635"/>
      <c r="Y105" s="635"/>
      <c r="Z105" s="635"/>
      <c r="AA105" s="636"/>
      <c r="AB105" s="637"/>
      <c r="AC105" s="2384"/>
      <c r="AD105" s="638"/>
      <c r="AE105" s="639"/>
      <c r="AF105" s="639"/>
      <c r="AG105" s="640"/>
      <c r="AH105" s="641"/>
      <c r="AI105" s="634"/>
      <c r="AJ105" s="634"/>
      <c r="AK105" s="634"/>
      <c r="AL105" s="634"/>
      <c r="AM105" s="634"/>
      <c r="AN105" s="634"/>
      <c r="AO105" s="634"/>
      <c r="AP105" s="634"/>
      <c r="AQ105" s="634"/>
      <c r="AR105" s="634"/>
      <c r="AS105" s="634"/>
      <c r="AT105" s="634"/>
      <c r="AU105" s="634"/>
      <c r="AV105" s="634"/>
      <c r="AW105" s="634"/>
      <c r="AX105" s="634"/>
      <c r="AY105" s="634"/>
      <c r="AZ105" s="634"/>
      <c r="BA105" s="634"/>
      <c r="BB105" s="634"/>
      <c r="BC105" s="634"/>
      <c r="BD105" s="634"/>
      <c r="BE105" s="634"/>
      <c r="BF105" s="634"/>
      <c r="BG105" s="634"/>
      <c r="BH105" s="634"/>
      <c r="BI105" s="634"/>
      <c r="BJ105" s="634"/>
      <c r="BK105" s="634"/>
      <c r="BL105" s="634"/>
      <c r="BM105" s="634"/>
      <c r="BN105" s="634"/>
      <c r="BO105" s="634"/>
      <c r="BP105" s="634"/>
      <c r="BQ105" s="634"/>
      <c r="BR105" s="634"/>
      <c r="BS105" s="634"/>
      <c r="BT105" s="634"/>
      <c r="BU105" s="634"/>
      <c r="BV105" s="635"/>
      <c r="BW105" s="635"/>
      <c r="BX105" s="635"/>
      <c r="BY105" s="635"/>
      <c r="BZ105" s="635"/>
      <c r="CA105" s="635"/>
      <c r="CB105" s="635"/>
      <c r="CC105" s="635"/>
      <c r="CD105" s="635"/>
      <c r="CE105" s="635"/>
      <c r="CF105" s="1859"/>
    </row>
    <row customHeight="1" ht="15" hidden="1">
      <c r="A106" s="632"/>
      <c r="B106" s="633"/>
      <c r="C106" s="633"/>
      <c r="D106" s="2588"/>
      <c r="E106" s="2386" t="s">
        <v>638</v>
      </c>
      <c r="F106" s="2387"/>
      <c r="G106" s="2388"/>
      <c r="H106" s="2392" t="str">
        <f>IF(A104="","",INDEX(DIFFERENTIATION_UNMERGE_SYSTEM,MATCH(A104,DIFFERENTIATION_ID_DIFF,0)))</f>
        <v>Котельная №12а, ул.Мира</v>
      </c>
      <c r="I106" s="2392"/>
      <c r="J106" s="2392"/>
      <c r="K106" s="2392"/>
      <c r="L106" s="2392"/>
      <c r="M106" s="2392"/>
      <c r="N106" s="2392"/>
      <c r="O106" s="2392"/>
      <c r="P106" s="2392"/>
      <c r="Q106" s="2392"/>
      <c r="R106" s="2392"/>
      <c r="S106" s="728"/>
      <c r="T106" s="725"/>
      <c r="U106" s="634"/>
      <c r="V106" s="634"/>
      <c r="W106" s="635"/>
      <c r="X106" s="635"/>
      <c r="Y106" s="635"/>
      <c r="Z106" s="635"/>
      <c r="AA106" s="636"/>
      <c r="AB106" s="637"/>
      <c r="AC106" s="2384"/>
      <c r="AD106" s="638"/>
      <c r="AE106" s="639"/>
      <c r="AF106" s="639"/>
      <c r="AG106" s="640"/>
      <c r="AH106" s="641"/>
      <c r="AI106" s="634"/>
      <c r="AJ106" s="634"/>
      <c r="AK106" s="634"/>
      <c r="AL106" s="634"/>
      <c r="AM106" s="634"/>
      <c r="AN106" s="634"/>
      <c r="AO106" s="634"/>
      <c r="AP106" s="634"/>
      <c r="AQ106" s="634"/>
      <c r="AR106" s="634"/>
      <c r="AS106" s="634"/>
      <c r="AT106" s="634"/>
      <c r="AU106" s="634"/>
      <c r="AV106" s="634"/>
      <c r="AW106" s="634"/>
      <c r="AX106" s="634"/>
      <c r="AY106" s="634"/>
      <c r="AZ106" s="634"/>
      <c r="BA106" s="634"/>
      <c r="BB106" s="634"/>
      <c r="BC106" s="634"/>
      <c r="BD106" s="634"/>
      <c r="BE106" s="634"/>
      <c r="BF106" s="634"/>
      <c r="BG106" s="634"/>
      <c r="BH106" s="634"/>
      <c r="BI106" s="634"/>
      <c r="BJ106" s="634"/>
      <c r="BK106" s="634"/>
      <c r="BL106" s="634"/>
      <c r="BM106" s="634"/>
      <c r="BN106" s="634"/>
      <c r="BO106" s="634"/>
      <c r="BP106" s="634"/>
      <c r="BQ106" s="634"/>
      <c r="BR106" s="634"/>
      <c r="BS106" s="634"/>
      <c r="BT106" s="634"/>
      <c r="BU106" s="634"/>
      <c r="BV106" s="635"/>
      <c r="BW106" s="635"/>
      <c r="BX106" s="635"/>
      <c r="BY106" s="635"/>
      <c r="BZ106" s="635"/>
      <c r="CA106" s="635"/>
      <c r="CB106" s="635"/>
      <c r="CC106" s="635"/>
      <c r="CD106" s="635"/>
      <c r="CE106" s="635"/>
      <c r="CF106" s="1859"/>
    </row>
    <row customHeight="1" ht="24.75" hidden="1">
      <c r="A107" s="1815"/>
      <c r="B107" s="1169"/>
      <c r="C107" s="421"/>
      <c r="D107" s="2588"/>
      <c r="E107" s="2385" t="s">
        <v>683</v>
      </c>
      <c r="F107" s="2385"/>
      <c r="G107" s="2385"/>
      <c r="H107" s="2385"/>
      <c r="I107" s="2385"/>
      <c r="J107" s="2385"/>
      <c r="K107" s="2385"/>
      <c r="L107" s="2385"/>
      <c r="M107" s="2385"/>
      <c r="N107" s="2385"/>
      <c r="O107" s="2385"/>
      <c r="P107" s="2385"/>
      <c r="Q107" s="567">
        <f>SUMIF(T108:T109,"i",Q108:Q109)</f>
        <v>0</v>
      </c>
      <c r="R107" s="1026"/>
      <c r="S107" s="1807" t="s">
        <v>684</v>
      </c>
      <c r="T107" s="726" t="s">
        <v>685</v>
      </c>
      <c r="U107" s="2383">
        <v>1</v>
      </c>
      <c r="V107" s="2383" t="s">
        <v>648</v>
      </c>
      <c r="W107" s="1169"/>
      <c r="X107" s="1169"/>
      <c r="Y107" s="1169"/>
      <c r="Z107" s="1169"/>
      <c r="AA107" s="1645"/>
      <c r="AB107" s="1169"/>
      <c r="AC107" s="2384"/>
      <c r="AD107" s="638"/>
      <c r="AE107" s="1169"/>
      <c r="AF107" s="1169"/>
      <c r="AG107" s="1645"/>
      <c r="AH107" s="1645"/>
      <c r="AI107" s="1645"/>
      <c r="AJ107" s="1645"/>
      <c r="AK107" s="1645"/>
      <c r="AL107" s="1645"/>
      <c r="AM107" s="1645"/>
      <c r="AN107" s="1645"/>
      <c r="AO107" s="1645"/>
      <c r="AP107" s="1645"/>
      <c r="AQ107" s="1645"/>
      <c r="AR107" s="1645"/>
      <c r="AS107" s="1645"/>
      <c r="AT107" s="1645"/>
      <c r="AU107" s="1645"/>
      <c r="AV107" s="1645"/>
      <c r="AW107" s="1645"/>
      <c r="AX107" s="1645"/>
      <c r="AY107" s="1645"/>
      <c r="AZ107" s="1645"/>
      <c r="BA107" s="1645"/>
      <c r="BB107" s="1645"/>
      <c r="BC107" s="1645"/>
      <c r="BD107" s="1645"/>
      <c r="BE107" s="1645"/>
      <c r="BF107" s="1645"/>
      <c r="BG107" s="1645"/>
      <c r="BH107" s="1645"/>
      <c r="BI107" s="1645"/>
      <c r="BJ107" s="1645"/>
      <c r="BK107" s="1645"/>
      <c r="BL107" s="1645"/>
      <c r="BM107" s="1645"/>
      <c r="BN107" s="1645"/>
      <c r="BO107" s="1645"/>
      <c r="BP107" s="1645"/>
      <c r="BQ107" s="1645"/>
      <c r="BR107" s="1645"/>
      <c r="BS107" s="1645"/>
      <c r="BT107" s="1645"/>
      <c r="BU107" s="1645"/>
      <c r="BV107" s="1169"/>
      <c r="BW107" s="1169"/>
      <c r="BX107" s="1169"/>
      <c r="BY107" s="1169"/>
      <c r="BZ107" s="1169"/>
      <c r="CA107" s="1169"/>
      <c r="CB107" s="1169"/>
      <c r="CC107" s="1169"/>
      <c r="CD107" s="1169"/>
      <c r="CE107" s="1169"/>
      <c r="CF107" s="1859"/>
    </row>
    <row customHeight="1" ht="11.25" hidden="1">
      <c r="A108" s="1802"/>
      <c r="B108" s="1645"/>
      <c r="C108" s="1645"/>
      <c r="D108" s="2588"/>
      <c r="E108" s="644"/>
      <c r="F108" s="644">
        <v>0</v>
      </c>
      <c r="G108" s="644"/>
      <c r="H108" s="644"/>
      <c r="I108" s="644"/>
      <c r="J108" s="644"/>
      <c r="K108" s="644"/>
      <c r="L108" s="644"/>
      <c r="M108" s="644"/>
      <c r="N108" s="644"/>
      <c r="O108" s="644"/>
      <c r="P108" s="644"/>
      <c r="Q108" s="644"/>
      <c r="R108" s="644"/>
      <c r="S108" s="645"/>
      <c r="T108" s="727"/>
      <c r="U108" s="2383"/>
      <c r="V108" s="2383"/>
      <c r="W108" s="1645"/>
      <c r="X108" s="1645"/>
      <c r="Y108" s="1645"/>
      <c r="Z108" s="1645"/>
      <c r="AA108" s="1645"/>
      <c r="AB108" s="1169"/>
      <c r="AC108" s="2384"/>
      <c r="AD108" s="638"/>
      <c r="AE108" s="1169"/>
      <c r="AF108" s="1169"/>
      <c r="AG108" s="1645"/>
      <c r="AH108" s="1645"/>
      <c r="AI108" s="1645"/>
      <c r="AJ108" s="1645"/>
      <c r="AK108" s="1645"/>
      <c r="AL108" s="1645"/>
      <c r="AM108" s="1645"/>
      <c r="AN108" s="1645"/>
      <c r="AO108" s="1645"/>
      <c r="AP108" s="1645"/>
      <c r="AQ108" s="1645"/>
      <c r="AR108" s="1645"/>
      <c r="AS108" s="1645"/>
      <c r="AT108" s="1645"/>
      <c r="AU108" s="1645"/>
      <c r="AV108" s="1645"/>
      <c r="AW108" s="1645"/>
      <c r="AX108" s="1645"/>
      <c r="AY108" s="1645"/>
      <c r="AZ108" s="1645"/>
      <c r="BA108" s="1645"/>
      <c r="BB108" s="1645"/>
      <c r="BC108" s="1645"/>
      <c r="BD108" s="1645"/>
      <c r="BE108" s="1645"/>
      <c r="BF108" s="1645"/>
      <c r="BG108" s="1645"/>
      <c r="BH108" s="1645"/>
      <c r="BI108" s="1645"/>
      <c r="BJ108" s="1645"/>
      <c r="BK108" s="1645"/>
      <c r="BL108" s="1645"/>
      <c r="BM108" s="1645"/>
      <c r="BN108" s="1645"/>
      <c r="BO108" s="1645"/>
      <c r="BP108" s="1645"/>
      <c r="BQ108" s="1645"/>
      <c r="BR108" s="1645"/>
      <c r="BS108" s="1645"/>
      <c r="BT108" s="1645"/>
      <c r="BU108" s="1645"/>
      <c r="BV108" s="1645"/>
      <c r="BW108" s="1645"/>
      <c r="BX108" s="1645"/>
      <c r="BY108" s="1645"/>
      <c r="BZ108" s="1645"/>
      <c r="CA108" s="1645"/>
      <c r="CB108" s="1645"/>
      <c r="CC108" s="1645"/>
      <c r="CD108" s="1645"/>
      <c r="CE108" s="1645"/>
      <c r="CF108" s="1859"/>
    </row>
    <row customHeight="1" ht="11.25" hidden="1">
      <c r="A109" s="1815"/>
      <c r="B109" s="1169"/>
      <c r="C109" s="421"/>
      <c r="D109" s="2588"/>
      <c r="E109" s="658" t="s">
        <v>22</v>
      </c>
      <c r="F109" s="1177" t="s">
        <v>22</v>
      </c>
      <c r="G109" s="1177" t="s">
        <v>688</v>
      </c>
      <c r="H109" s="660" t="s">
        <v>22</v>
      </c>
      <c r="I109" s="660"/>
      <c r="J109" s="660"/>
      <c r="K109" s="660"/>
      <c r="L109" s="660"/>
      <c r="M109" s="660"/>
      <c r="N109" s="660"/>
      <c r="O109" s="660"/>
      <c r="P109" s="660"/>
      <c r="Q109" s="660"/>
      <c r="R109" s="661"/>
      <c r="S109" s="662"/>
      <c r="T109" s="727"/>
      <c r="U109" s="2383"/>
      <c r="V109" s="2383"/>
      <c r="W109" s="1169"/>
      <c r="X109" s="1169"/>
      <c r="Y109" s="1169"/>
      <c r="Z109" s="1169"/>
      <c r="AA109" s="1645"/>
      <c r="AB109" s="1169"/>
      <c r="AC109" s="2384"/>
      <c r="AD109" s="638"/>
      <c r="AE109" s="1169"/>
      <c r="AF109" s="1169"/>
      <c r="AG109" s="1645"/>
      <c r="AH109" s="1645"/>
      <c r="AI109" s="1645"/>
      <c r="AJ109" s="1645"/>
      <c r="AK109" s="1645"/>
      <c r="AL109" s="1645"/>
      <c r="AM109" s="1645"/>
      <c r="AN109" s="1645"/>
      <c r="AO109" s="1645"/>
      <c r="AP109" s="1645"/>
      <c r="AQ109" s="1645"/>
      <c r="AR109" s="1645"/>
      <c r="AS109" s="1645"/>
      <c r="AT109" s="1645"/>
      <c r="AU109" s="1645"/>
      <c r="AV109" s="1645"/>
      <c r="AW109" s="1645"/>
      <c r="AX109" s="1645"/>
      <c r="AY109" s="1645"/>
      <c r="AZ109" s="1645"/>
      <c r="BA109" s="1645"/>
      <c r="BB109" s="1645"/>
      <c r="BC109" s="1645"/>
      <c r="BD109" s="1645"/>
      <c r="BE109" s="1645"/>
      <c r="BF109" s="1645"/>
      <c r="BG109" s="1645"/>
      <c r="BH109" s="1645"/>
      <c r="BI109" s="1645"/>
      <c r="BJ109" s="1645"/>
      <c r="BK109" s="1645"/>
      <c r="BL109" s="1645"/>
      <c r="BM109" s="1645"/>
      <c r="BN109" s="1645"/>
      <c r="BO109" s="1645"/>
      <c r="BP109" s="1645"/>
      <c r="BQ109" s="1645"/>
      <c r="BR109" s="1645"/>
      <c r="BS109" s="1645"/>
      <c r="BT109" s="1645"/>
      <c r="BU109" s="1645"/>
      <c r="BV109" s="1169"/>
      <c r="BW109" s="1169"/>
      <c r="BX109" s="1169"/>
      <c r="BY109" s="1169"/>
      <c r="BZ109" s="1169"/>
      <c r="CA109" s="1169"/>
      <c r="CB109" s="1169"/>
      <c r="CC109" s="1169"/>
      <c r="CD109" s="1169"/>
      <c r="CE109" s="1169"/>
      <c r="CF109" s="1859"/>
    </row>
    <row customHeight="1" ht="5.25" hidden="1">
      <c r="A110" s="1802"/>
      <c r="B110" s="1645"/>
      <c r="C110" s="1645"/>
      <c r="D110" s="2588"/>
      <c r="E110" s="1048"/>
      <c r="F110" s="1048"/>
      <c r="G110" s="1048"/>
      <c r="H110" s="1048"/>
      <c r="I110" s="1048"/>
      <c r="J110" s="1048"/>
      <c r="K110" s="1048"/>
      <c r="L110" s="1048"/>
      <c r="M110" s="1048"/>
      <c r="N110" s="1048"/>
      <c r="O110" s="1048"/>
      <c r="P110" s="1048"/>
      <c r="Q110" s="1049"/>
      <c r="R110" s="1050"/>
      <c r="S110" s="1051"/>
      <c r="T110" s="726" t="s">
        <v>685</v>
      </c>
      <c r="U110" s="2383">
        <v>1</v>
      </c>
      <c r="V110" s="2383" t="s">
        <v>648</v>
      </c>
      <c r="W110" s="1645"/>
      <c r="X110" s="1645"/>
      <c r="Y110" s="1645"/>
      <c r="Z110" s="1645"/>
      <c r="AA110" s="1645"/>
      <c r="AB110" s="1645"/>
      <c r="AC110" s="1046"/>
      <c r="AD110" s="1047"/>
      <c r="AE110" s="1645"/>
      <c r="AF110" s="1645"/>
      <c r="AG110" s="1645"/>
      <c r="AH110" s="1645"/>
      <c r="AI110" s="1645"/>
      <c r="AJ110" s="1645"/>
      <c r="AK110" s="1645"/>
      <c r="AL110" s="1645"/>
      <c r="AM110" s="1645"/>
      <c r="AN110" s="1645"/>
      <c r="AO110" s="1645"/>
      <c r="AP110" s="1645"/>
      <c r="AQ110" s="1645"/>
      <c r="AR110" s="1645"/>
      <c r="AS110" s="1645"/>
      <c r="AT110" s="1645"/>
      <c r="AU110" s="1645"/>
      <c r="AV110" s="1645"/>
      <c r="AW110" s="1645"/>
      <c r="AX110" s="1645"/>
      <c r="AY110" s="1645"/>
      <c r="AZ110" s="1645"/>
      <c r="BA110" s="1645"/>
      <c r="BB110" s="1645"/>
      <c r="BC110" s="1645"/>
      <c r="BD110" s="1645"/>
      <c r="BE110" s="1645"/>
      <c r="BF110" s="1645"/>
      <c r="BG110" s="1645"/>
      <c r="BH110" s="1645"/>
      <c r="BI110" s="1645"/>
      <c r="BJ110" s="1645"/>
      <c r="BK110" s="1645"/>
      <c r="BL110" s="1645"/>
      <c r="BM110" s="1645"/>
      <c r="BN110" s="1645"/>
      <c r="BO110" s="1645"/>
      <c r="BP110" s="1645"/>
      <c r="BQ110" s="1645"/>
      <c r="BR110" s="1645"/>
      <c r="BS110" s="1645"/>
      <c r="BT110" s="1645"/>
      <c r="BU110" s="1645"/>
      <c r="BV110" s="1645"/>
      <c r="BW110" s="1645"/>
      <c r="BX110" s="1645"/>
      <c r="BY110" s="1645"/>
      <c r="BZ110" s="1645"/>
      <c r="CA110" s="1645"/>
      <c r="CB110" s="1645"/>
      <c r="CC110" s="1645"/>
      <c r="CD110" s="1645"/>
      <c r="CE110" s="1645"/>
      <c r="CF110" s="1325"/>
    </row>
    <row customHeight="1" ht="5.25" hidden="1">
      <c r="A111" s="1802"/>
      <c r="B111" s="1645"/>
      <c r="C111" s="1645"/>
      <c r="D111" s="2588"/>
      <c r="E111" s="644"/>
      <c r="F111" s="644"/>
      <c r="G111" s="644"/>
      <c r="H111" s="644"/>
      <c r="I111" s="644"/>
      <c r="J111" s="644"/>
      <c r="K111" s="644"/>
      <c r="L111" s="644"/>
      <c r="M111" s="644"/>
      <c r="N111" s="644"/>
      <c r="O111" s="644"/>
      <c r="P111" s="644"/>
      <c r="Q111" s="644"/>
      <c r="R111" s="644"/>
      <c r="S111" s="645"/>
      <c r="T111" s="727"/>
      <c r="U111" s="2383"/>
      <c r="V111" s="2383"/>
      <c r="W111" s="1645"/>
      <c r="X111" s="1645"/>
      <c r="Y111" s="1645"/>
      <c r="Z111" s="1645"/>
      <c r="AA111" s="1645"/>
      <c r="AB111" s="1645"/>
      <c r="AC111" s="1046"/>
      <c r="AD111" s="1047"/>
      <c r="AE111" s="1645"/>
      <c r="AF111" s="1645"/>
      <c r="AG111" s="1645"/>
      <c r="AH111" s="1645"/>
      <c r="AI111" s="1645"/>
      <c r="AJ111" s="1645"/>
      <c r="AK111" s="1645"/>
      <c r="AL111" s="1645"/>
      <c r="AM111" s="1645"/>
      <c r="AN111" s="1645"/>
      <c r="AO111" s="1645"/>
      <c r="AP111" s="1645"/>
      <c r="AQ111" s="1645"/>
      <c r="AR111" s="1645"/>
      <c r="AS111" s="1645"/>
      <c r="AT111" s="1645"/>
      <c r="AU111" s="1645"/>
      <c r="AV111" s="1645"/>
      <c r="AW111" s="1645"/>
      <c r="AX111" s="1645"/>
      <c r="AY111" s="1645"/>
      <c r="AZ111" s="1645"/>
      <c r="BA111" s="1645"/>
      <c r="BB111" s="1645"/>
      <c r="BC111" s="1645"/>
      <c r="BD111" s="1645"/>
      <c r="BE111" s="1645"/>
      <c r="BF111" s="1645"/>
      <c r="BG111" s="1645"/>
      <c r="BH111" s="1645"/>
      <c r="BI111" s="1645"/>
      <c r="BJ111" s="1645"/>
      <c r="BK111" s="1645"/>
      <c r="BL111" s="1645"/>
      <c r="BM111" s="1645"/>
      <c r="BN111" s="1645"/>
      <c r="BO111" s="1645"/>
      <c r="BP111" s="1645"/>
      <c r="BQ111" s="1645"/>
      <c r="BR111" s="1645"/>
      <c r="BS111" s="1645"/>
      <c r="BT111" s="1645"/>
      <c r="BU111" s="1645"/>
      <c r="BV111" s="1645"/>
      <c r="BW111" s="1645"/>
      <c r="BX111" s="1645"/>
      <c r="BY111" s="1645"/>
      <c r="BZ111" s="1645"/>
      <c r="CA111" s="1645"/>
      <c r="CB111" s="1645"/>
      <c r="CC111" s="1645"/>
      <c r="CD111" s="1645"/>
      <c r="CE111" s="1645"/>
      <c r="CF111" s="1325"/>
    </row>
    <row customHeight="1" ht="5.25" hidden="1">
      <c r="A112" s="1802"/>
      <c r="B112" s="1645"/>
      <c r="C112" s="1645"/>
      <c r="D112" s="2589"/>
      <c r="E112" s="1052"/>
      <c r="F112" s="1053"/>
      <c r="G112" s="1053"/>
      <c r="H112" s="1054"/>
      <c r="I112" s="1054"/>
      <c r="J112" s="1054"/>
      <c r="K112" s="1054"/>
      <c r="L112" s="1054"/>
      <c r="M112" s="1054"/>
      <c r="N112" s="1054"/>
      <c r="O112" s="1054"/>
      <c r="P112" s="1054"/>
      <c r="Q112" s="1054"/>
      <c r="R112" s="955"/>
      <c r="S112" s="1055"/>
      <c r="T112" s="727"/>
      <c r="U112" s="2383"/>
      <c r="V112" s="2383"/>
      <c r="W112" s="1645"/>
      <c r="X112" s="1645"/>
      <c r="Y112" s="1645"/>
      <c r="Z112" s="1645"/>
      <c r="AA112" s="1645"/>
      <c r="AB112" s="1645"/>
      <c r="AC112" s="1046"/>
      <c r="AD112" s="1047"/>
      <c r="AE112" s="1645"/>
      <c r="AF112" s="1645"/>
      <c r="AG112" s="1645"/>
      <c r="AH112" s="1645"/>
      <c r="AI112" s="1645"/>
      <c r="AJ112" s="1645"/>
      <c r="AK112" s="1645"/>
      <c r="AL112" s="1645"/>
      <c r="AM112" s="1645"/>
      <c r="AN112" s="1645"/>
      <c r="AO112" s="1645"/>
      <c r="AP112" s="1645"/>
      <c r="AQ112" s="1645"/>
      <c r="AR112" s="1645"/>
      <c r="AS112" s="1645"/>
      <c r="AT112" s="1645"/>
      <c r="AU112" s="1645"/>
      <c r="AV112" s="1645"/>
      <c r="AW112" s="1645"/>
      <c r="AX112" s="1645"/>
      <c r="AY112" s="1645"/>
      <c r="AZ112" s="1645"/>
      <c r="BA112" s="1645"/>
      <c r="BB112" s="1645"/>
      <c r="BC112" s="1645"/>
      <c r="BD112" s="1645"/>
      <c r="BE112" s="1645"/>
      <c r="BF112" s="1645"/>
      <c r="BG112" s="1645"/>
      <c r="BH112" s="1645"/>
      <c r="BI112" s="1645"/>
      <c r="BJ112" s="1645"/>
      <c r="BK112" s="1645"/>
      <c r="BL112" s="1645"/>
      <c r="BM112" s="1645"/>
      <c r="BN112" s="1645"/>
      <c r="BO112" s="1645"/>
      <c r="BP112" s="1645"/>
      <c r="BQ112" s="1645"/>
      <c r="BR112" s="1645"/>
      <c r="BS112" s="1645"/>
      <c r="BT112" s="1645"/>
      <c r="BU112" s="1645"/>
      <c r="BV112" s="1645"/>
      <c r="BW112" s="1645"/>
      <c r="BX112" s="1645"/>
      <c r="BY112" s="1645"/>
      <c r="BZ112" s="1645"/>
      <c r="CA112" s="1645"/>
      <c r="CB112" s="1645"/>
      <c r="CC112" s="1645"/>
      <c r="CD112" s="1645"/>
      <c r="CE112" s="1645"/>
      <c r="CF112" s="1325"/>
    </row>
    <row customHeight="1" ht="15" hidden="1">
      <c r="A113" s="632" t="s">
        <v>147</v>
      </c>
      <c r="B113" s="633"/>
      <c r="C113" s="633" t="s">
        <v>22</v>
      </c>
      <c r="D113" s="2587" t="s">
        <v>698</v>
      </c>
      <c r="E113" s="2386" t="s">
        <v>105</v>
      </c>
      <c r="F113" s="2387"/>
      <c r="G113" s="2388"/>
      <c r="H113" s="2392" t="str">
        <f>IF(A113="","",INDEX(DIFFERENTIATION_UNMERGE_VD,MATCH(A113,DIFFERENTIATION_ID_DIFF,0)))</f>
        <v>Производство тепловой энергии. Некомбинированная выработка</v>
      </c>
      <c r="I113" s="2392"/>
      <c r="J113" s="2392"/>
      <c r="K113" s="2392"/>
      <c r="L113" s="2392"/>
      <c r="M113" s="2392"/>
      <c r="N113" s="2392"/>
      <c r="O113" s="2392"/>
      <c r="P113" s="2392"/>
      <c r="Q113" s="2392"/>
      <c r="R113" s="2392"/>
      <c r="S113" s="728"/>
      <c r="T113" s="725"/>
      <c r="U113" s="634"/>
      <c r="V113" s="634"/>
      <c r="W113" s="635"/>
      <c r="X113" s="635"/>
      <c r="Y113" s="635"/>
      <c r="Z113" s="635"/>
      <c r="AA113" s="636"/>
      <c r="AB113" s="637"/>
      <c r="AC113" s="2384"/>
      <c r="AD113" s="638"/>
      <c r="AE113" s="639" t="s">
        <v>22</v>
      </c>
      <c r="AF113" s="639"/>
      <c r="AG113" s="640" t="s">
        <v>682</v>
      </c>
      <c r="AH113" s="641">
        <v>3</v>
      </c>
      <c r="AI113" s="634"/>
      <c r="AJ113" s="634"/>
      <c r="AK113" s="634"/>
      <c r="AL113" s="634"/>
      <c r="AM113" s="634"/>
      <c r="AN113" s="634"/>
      <c r="AO113" s="634"/>
      <c r="AP113" s="634"/>
      <c r="AQ113" s="634"/>
      <c r="AR113" s="634"/>
      <c r="AS113" s="634"/>
      <c r="AT113" s="634"/>
      <c r="AU113" s="634"/>
      <c r="AV113" s="634"/>
      <c r="AW113" s="634"/>
      <c r="AX113" s="634"/>
      <c r="AY113" s="634"/>
      <c r="AZ113" s="634"/>
      <c r="BA113" s="634"/>
      <c r="BB113" s="634"/>
      <c r="BC113" s="634"/>
      <c r="BD113" s="634"/>
      <c r="BE113" s="634"/>
      <c r="BF113" s="634"/>
      <c r="BG113" s="634"/>
      <c r="BH113" s="634"/>
      <c r="BI113" s="634"/>
      <c r="BJ113" s="634"/>
      <c r="BK113" s="634"/>
      <c r="BL113" s="634"/>
      <c r="BM113" s="634"/>
      <c r="BN113" s="634"/>
      <c r="BO113" s="634"/>
      <c r="BP113" s="634"/>
      <c r="BQ113" s="634"/>
      <c r="BR113" s="634"/>
      <c r="BS113" s="634"/>
      <c r="BT113" s="634"/>
      <c r="BU113" s="634"/>
      <c r="BV113" s="635"/>
      <c r="BW113" s="635"/>
      <c r="BX113" s="635"/>
      <c r="BY113" s="635"/>
      <c r="BZ113" s="635"/>
      <c r="CA113" s="635"/>
      <c r="CB113" s="635"/>
      <c r="CC113" s="635"/>
      <c r="CD113" s="635"/>
      <c r="CE113" s="635"/>
      <c r="CF113" s="1859"/>
    </row>
    <row customHeight="1" ht="15" hidden="1">
      <c r="A114" s="632"/>
      <c r="B114" s="633"/>
      <c r="C114" s="633"/>
      <c r="D114" s="2588"/>
      <c r="E114" s="2386" t="s">
        <v>637</v>
      </c>
      <c r="F114" s="2387"/>
      <c r="G114" s="2388"/>
      <c r="H114" s="2392" t="str">
        <f>IF(A113="","",INDEX(DIFFERENTIATION_UNMERGE_AREA,MATCH(A113,DIFFERENTIATION_ID_DIFF,0)))</f>
        <v>Территория 1</v>
      </c>
      <c r="I114" s="2392"/>
      <c r="J114" s="2392"/>
      <c r="K114" s="2392"/>
      <c r="L114" s="2392"/>
      <c r="M114" s="2392"/>
      <c r="N114" s="2392"/>
      <c r="O114" s="2392"/>
      <c r="P114" s="2392"/>
      <c r="Q114" s="2392"/>
      <c r="R114" s="2392"/>
      <c r="S114" s="728"/>
      <c r="T114" s="725"/>
      <c r="U114" s="634"/>
      <c r="V114" s="634"/>
      <c r="W114" s="635"/>
      <c r="X114" s="635"/>
      <c r="Y114" s="635"/>
      <c r="Z114" s="635"/>
      <c r="AA114" s="636"/>
      <c r="AB114" s="637"/>
      <c r="AC114" s="2384"/>
      <c r="AD114" s="638"/>
      <c r="AE114" s="639"/>
      <c r="AF114" s="639"/>
      <c r="AG114" s="640"/>
      <c r="AH114" s="641"/>
      <c r="AI114" s="634"/>
      <c r="AJ114" s="634"/>
      <c r="AK114" s="634"/>
      <c r="AL114" s="634"/>
      <c r="AM114" s="634"/>
      <c r="AN114" s="634"/>
      <c r="AO114" s="634"/>
      <c r="AP114" s="634"/>
      <c r="AQ114" s="634"/>
      <c r="AR114" s="634"/>
      <c r="AS114" s="634"/>
      <c r="AT114" s="634"/>
      <c r="AU114" s="634"/>
      <c r="AV114" s="634"/>
      <c r="AW114" s="634"/>
      <c r="AX114" s="634"/>
      <c r="AY114" s="634"/>
      <c r="AZ114" s="634"/>
      <c r="BA114" s="634"/>
      <c r="BB114" s="634"/>
      <c r="BC114" s="634"/>
      <c r="BD114" s="634"/>
      <c r="BE114" s="634"/>
      <c r="BF114" s="634"/>
      <c r="BG114" s="634"/>
      <c r="BH114" s="634"/>
      <c r="BI114" s="634"/>
      <c r="BJ114" s="634"/>
      <c r="BK114" s="634"/>
      <c r="BL114" s="634"/>
      <c r="BM114" s="634"/>
      <c r="BN114" s="634"/>
      <c r="BO114" s="634"/>
      <c r="BP114" s="634"/>
      <c r="BQ114" s="634"/>
      <c r="BR114" s="634"/>
      <c r="BS114" s="634"/>
      <c r="BT114" s="634"/>
      <c r="BU114" s="634"/>
      <c r="BV114" s="635"/>
      <c r="BW114" s="635"/>
      <c r="BX114" s="635"/>
      <c r="BY114" s="635"/>
      <c r="BZ114" s="635"/>
      <c r="CA114" s="635"/>
      <c r="CB114" s="635"/>
      <c r="CC114" s="635"/>
      <c r="CD114" s="635"/>
      <c r="CE114" s="635"/>
      <c r="CF114" s="1859"/>
    </row>
    <row customHeight="1" ht="15" hidden="1">
      <c r="A115" s="632"/>
      <c r="B115" s="633"/>
      <c r="C115" s="633"/>
      <c r="D115" s="2588"/>
      <c r="E115" s="2386" t="s">
        <v>638</v>
      </c>
      <c r="F115" s="2387"/>
      <c r="G115" s="2388"/>
      <c r="H115" s="2392" t="str">
        <f>IF(A113="","",INDEX(DIFFERENTIATION_UNMERGE_SYSTEM,MATCH(A113,DIFFERENTIATION_ID_DIFF,0)))</f>
        <v>Котельная №13, ул.Морквашинская</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c r="AF115" s="639"/>
      <c r="AG115" s="640"/>
      <c r="AH115" s="641"/>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c r="CF115" s="1859"/>
    </row>
    <row customHeight="1" ht="24.75" hidden="1">
      <c r="A116" s="1815"/>
      <c r="B116" s="1169"/>
      <c r="C116" s="421"/>
      <c r="D116" s="2588"/>
      <c r="E116" s="2385" t="s">
        <v>683</v>
      </c>
      <c r="F116" s="2385"/>
      <c r="G116" s="2385"/>
      <c r="H116" s="2385"/>
      <c r="I116" s="2385"/>
      <c r="J116" s="2385"/>
      <c r="K116" s="2385"/>
      <c r="L116" s="2385"/>
      <c r="M116" s="2385"/>
      <c r="N116" s="2385"/>
      <c r="O116" s="2385"/>
      <c r="P116" s="2385"/>
      <c r="Q116" s="567">
        <f>SUMIF(T117:T118,"i",Q117:Q118)</f>
        <v>0</v>
      </c>
      <c r="R116" s="1026"/>
      <c r="S116" s="1807" t="s">
        <v>684</v>
      </c>
      <c r="T116" s="726" t="s">
        <v>685</v>
      </c>
      <c r="U116" s="2383">
        <v>1</v>
      </c>
      <c r="V116" s="2383" t="s">
        <v>648</v>
      </c>
      <c r="W116" s="1169"/>
      <c r="X116" s="1169"/>
      <c r="Y116" s="1169"/>
      <c r="Z116" s="1169"/>
      <c r="AA116" s="1645"/>
      <c r="AB116" s="1169"/>
      <c r="AC116" s="2384"/>
      <c r="AD116" s="638"/>
      <c r="AE116" s="1169"/>
      <c r="AF116" s="1169"/>
      <c r="AG116" s="1645"/>
      <c r="AH116" s="1645"/>
      <c r="AI116" s="1645"/>
      <c r="AJ116" s="1645"/>
      <c r="AK116" s="1645"/>
      <c r="AL116" s="1645"/>
      <c r="AM116" s="1645"/>
      <c r="AN116" s="1645"/>
      <c r="AO116" s="1645"/>
      <c r="AP116" s="1645"/>
      <c r="AQ116" s="1645"/>
      <c r="AR116" s="1645"/>
      <c r="AS116" s="1645"/>
      <c r="AT116" s="1645"/>
      <c r="AU116" s="1645"/>
      <c r="AV116" s="1645"/>
      <c r="AW116" s="1645"/>
      <c r="AX116" s="1645"/>
      <c r="AY116" s="1645"/>
      <c r="AZ116" s="1645"/>
      <c r="BA116" s="1645"/>
      <c r="BB116" s="1645"/>
      <c r="BC116" s="1645"/>
      <c r="BD116" s="1645"/>
      <c r="BE116" s="1645"/>
      <c r="BF116" s="1645"/>
      <c r="BG116" s="1645"/>
      <c r="BH116" s="1645"/>
      <c r="BI116" s="1645"/>
      <c r="BJ116" s="1645"/>
      <c r="BK116" s="1645"/>
      <c r="BL116" s="1645"/>
      <c r="BM116" s="1645"/>
      <c r="BN116" s="1645"/>
      <c r="BO116" s="1645"/>
      <c r="BP116" s="1645"/>
      <c r="BQ116" s="1645"/>
      <c r="BR116" s="1645"/>
      <c r="BS116" s="1645"/>
      <c r="BT116" s="1645"/>
      <c r="BU116" s="1645"/>
      <c r="BV116" s="1169"/>
      <c r="BW116" s="1169"/>
      <c r="BX116" s="1169"/>
      <c r="BY116" s="1169"/>
      <c r="BZ116" s="1169"/>
      <c r="CA116" s="1169"/>
      <c r="CB116" s="1169"/>
      <c r="CC116" s="1169"/>
      <c r="CD116" s="1169"/>
      <c r="CE116" s="1169"/>
      <c r="CF116" s="1859"/>
    </row>
    <row customHeight="1" ht="11.25" hidden="1">
      <c r="A117" s="1802"/>
      <c r="B117" s="1645"/>
      <c r="C117" s="1645"/>
      <c r="D117" s="2588"/>
      <c r="E117" s="644"/>
      <c r="F117" s="644">
        <v>0</v>
      </c>
      <c r="G117" s="644"/>
      <c r="H117" s="644"/>
      <c r="I117" s="644"/>
      <c r="J117" s="644"/>
      <c r="K117" s="644"/>
      <c r="L117" s="644"/>
      <c r="M117" s="644"/>
      <c r="N117" s="644"/>
      <c r="O117" s="644"/>
      <c r="P117" s="644"/>
      <c r="Q117" s="644"/>
      <c r="R117" s="644"/>
      <c r="S117" s="645"/>
      <c r="T117" s="727"/>
      <c r="U117" s="2383"/>
      <c r="V117" s="2383"/>
      <c r="W117" s="1645"/>
      <c r="X117" s="1645"/>
      <c r="Y117" s="1645"/>
      <c r="Z117" s="1645"/>
      <c r="AA117" s="1645"/>
      <c r="AB117" s="1169"/>
      <c r="AC117" s="2384"/>
      <c r="AD117" s="638"/>
      <c r="AE117" s="1169"/>
      <c r="AF117" s="1169"/>
      <c r="AG117" s="1645"/>
      <c r="AH117" s="1645"/>
      <c r="AI117" s="1645"/>
      <c r="AJ117" s="1645"/>
      <c r="AK117" s="1645"/>
      <c r="AL117" s="1645"/>
      <c r="AM117" s="1645"/>
      <c r="AN117" s="1645"/>
      <c r="AO117" s="1645"/>
      <c r="AP117" s="1645"/>
      <c r="AQ117" s="1645"/>
      <c r="AR117" s="1645"/>
      <c r="AS117" s="1645"/>
      <c r="AT117" s="1645"/>
      <c r="AU117" s="1645"/>
      <c r="AV117" s="1645"/>
      <c r="AW117" s="1645"/>
      <c r="AX117" s="1645"/>
      <c r="AY117" s="1645"/>
      <c r="AZ117" s="1645"/>
      <c r="BA117" s="1645"/>
      <c r="BB117" s="1645"/>
      <c r="BC117" s="1645"/>
      <c r="BD117" s="1645"/>
      <c r="BE117" s="1645"/>
      <c r="BF117" s="1645"/>
      <c r="BG117" s="1645"/>
      <c r="BH117" s="1645"/>
      <c r="BI117" s="1645"/>
      <c r="BJ117" s="1645"/>
      <c r="BK117" s="1645"/>
      <c r="BL117" s="1645"/>
      <c r="BM117" s="1645"/>
      <c r="BN117" s="1645"/>
      <c r="BO117" s="1645"/>
      <c r="BP117" s="1645"/>
      <c r="BQ117" s="1645"/>
      <c r="BR117" s="1645"/>
      <c r="BS117" s="1645"/>
      <c r="BT117" s="1645"/>
      <c r="BU117" s="1645"/>
      <c r="BV117" s="1645"/>
      <c r="BW117" s="1645"/>
      <c r="BX117" s="1645"/>
      <c r="BY117" s="1645"/>
      <c r="BZ117" s="1645"/>
      <c r="CA117" s="1645"/>
      <c r="CB117" s="1645"/>
      <c r="CC117" s="1645"/>
      <c r="CD117" s="1645"/>
      <c r="CE117" s="1645"/>
      <c r="CF117" s="1859"/>
    </row>
    <row customHeight="1" ht="11.25" hidden="1">
      <c r="A118" s="1815"/>
      <c r="B118" s="1169"/>
      <c r="C118" s="421"/>
      <c r="D118" s="2588"/>
      <c r="E118" s="658" t="s">
        <v>22</v>
      </c>
      <c r="F118" s="1177" t="s">
        <v>22</v>
      </c>
      <c r="G118" s="1177" t="s">
        <v>688</v>
      </c>
      <c r="H118" s="660" t="s">
        <v>22</v>
      </c>
      <c r="I118" s="660"/>
      <c r="J118" s="660"/>
      <c r="K118" s="660"/>
      <c r="L118" s="660"/>
      <c r="M118" s="660"/>
      <c r="N118" s="660"/>
      <c r="O118" s="660"/>
      <c r="P118" s="660"/>
      <c r="Q118" s="660"/>
      <c r="R118" s="661"/>
      <c r="S118" s="662"/>
      <c r="T118" s="727"/>
      <c r="U118" s="2383"/>
      <c r="V118" s="2383"/>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c r="CF118" s="1859"/>
    </row>
    <row customHeight="1" ht="5.25" hidden="1">
      <c r="A119" s="1802"/>
      <c r="B119" s="1645"/>
      <c r="C119" s="1645"/>
      <c r="D119" s="2588"/>
      <c r="E119" s="1048"/>
      <c r="F119" s="1048"/>
      <c r="G119" s="1048"/>
      <c r="H119" s="1048"/>
      <c r="I119" s="1048"/>
      <c r="J119" s="1048"/>
      <c r="K119" s="1048"/>
      <c r="L119" s="1048"/>
      <c r="M119" s="1048"/>
      <c r="N119" s="1048"/>
      <c r="O119" s="1048"/>
      <c r="P119" s="1048"/>
      <c r="Q119" s="1049"/>
      <c r="R119" s="1050"/>
      <c r="S119" s="1051"/>
      <c r="T119" s="726" t="s">
        <v>685</v>
      </c>
      <c r="U119" s="2383">
        <v>1</v>
      </c>
      <c r="V119" s="2383" t="s">
        <v>648</v>
      </c>
      <c r="W119" s="1645"/>
      <c r="X119" s="1645"/>
      <c r="Y119" s="1645"/>
      <c r="Z119" s="1645"/>
      <c r="AA119" s="1645"/>
      <c r="AB119" s="1645"/>
      <c r="AC119" s="1046"/>
      <c r="AD119" s="1047"/>
      <c r="AE119" s="1645"/>
      <c r="AF119" s="1645"/>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c r="CF119" s="1325"/>
    </row>
    <row customHeight="1" ht="5.25" hidden="1">
      <c r="A120" s="1802"/>
      <c r="B120" s="1645"/>
      <c r="C120" s="1645"/>
      <c r="D120" s="2588"/>
      <c r="E120" s="644"/>
      <c r="F120" s="644"/>
      <c r="G120" s="644"/>
      <c r="H120" s="644"/>
      <c r="I120" s="644"/>
      <c r="J120" s="644"/>
      <c r="K120" s="644"/>
      <c r="L120" s="644"/>
      <c r="M120" s="644"/>
      <c r="N120" s="644"/>
      <c r="O120" s="644"/>
      <c r="P120" s="644"/>
      <c r="Q120" s="644"/>
      <c r="R120" s="644"/>
      <c r="S120" s="645"/>
      <c r="T120" s="727"/>
      <c r="U120" s="2383"/>
      <c r="V120" s="2383"/>
      <c r="W120" s="1645"/>
      <c r="X120" s="1645"/>
      <c r="Y120" s="1645"/>
      <c r="Z120" s="1645"/>
      <c r="AA120" s="1645"/>
      <c r="AB120" s="1645"/>
      <c r="AC120" s="1046"/>
      <c r="AD120" s="1047"/>
      <c r="AE120" s="1645"/>
      <c r="AF120" s="1645"/>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645"/>
      <c r="BW120" s="1645"/>
      <c r="BX120" s="1645"/>
      <c r="BY120" s="1645"/>
      <c r="BZ120" s="1645"/>
      <c r="CA120" s="1645"/>
      <c r="CB120" s="1645"/>
      <c r="CC120" s="1645"/>
      <c r="CD120" s="1645"/>
      <c r="CE120" s="1645"/>
      <c r="CF120" s="1325"/>
    </row>
    <row customHeight="1" ht="5.25" hidden="1">
      <c r="A121" s="1802"/>
      <c r="B121" s="1645"/>
      <c r="C121" s="1645"/>
      <c r="D121" s="2589"/>
      <c r="E121" s="1052"/>
      <c r="F121" s="1053"/>
      <c r="G121" s="1053"/>
      <c r="H121" s="1054"/>
      <c r="I121" s="1054"/>
      <c r="J121" s="1054"/>
      <c r="K121" s="1054"/>
      <c r="L121" s="1054"/>
      <c r="M121" s="1054"/>
      <c r="N121" s="1054"/>
      <c r="O121" s="1054"/>
      <c r="P121" s="1054"/>
      <c r="Q121" s="1054"/>
      <c r="R121" s="955"/>
      <c r="S121" s="1055"/>
      <c r="T121" s="727"/>
      <c r="U121" s="2383"/>
      <c r="V121" s="2383"/>
      <c r="W121" s="1645"/>
      <c r="X121" s="1645"/>
      <c r="Y121" s="1645"/>
      <c r="Z121" s="1645"/>
      <c r="AA121" s="1645"/>
      <c r="AB121" s="1645"/>
      <c r="AC121" s="1046"/>
      <c r="AD121" s="1047"/>
      <c r="AE121" s="1645"/>
      <c r="AF121" s="1645"/>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645"/>
      <c r="BW121" s="1645"/>
      <c r="BX121" s="1645"/>
      <c r="BY121" s="1645"/>
      <c r="BZ121" s="1645"/>
      <c r="CA121" s="1645"/>
      <c r="CB121" s="1645"/>
      <c r="CC121" s="1645"/>
      <c r="CD121" s="1645"/>
      <c r="CE121" s="1645"/>
      <c r="CF121" s="1325"/>
    </row>
    <row customHeight="1" ht="15" hidden="1">
      <c r="A122" s="632" t="s">
        <v>150</v>
      </c>
      <c r="B122" s="633"/>
      <c r="C122" s="633" t="s">
        <v>22</v>
      </c>
      <c r="D122" s="2587" t="s">
        <v>699</v>
      </c>
      <c r="E122" s="2386" t="s">
        <v>105</v>
      </c>
      <c r="F122" s="2387"/>
      <c r="G122" s="2388"/>
      <c r="H122" s="2392" t="str">
        <f>IF(A122="","",INDEX(DIFFERENTIATION_UNMERGE_VD,MATCH(A122,DIFFERENTIATION_ID_DIFF,0)))</f>
        <v>Производство тепловой энергии. Некомбинированная выработка</v>
      </c>
      <c r="I122" s="2392"/>
      <c r="J122" s="2392"/>
      <c r="K122" s="2392"/>
      <c r="L122" s="2392"/>
      <c r="M122" s="2392"/>
      <c r="N122" s="2392"/>
      <c r="O122" s="2392"/>
      <c r="P122" s="2392"/>
      <c r="Q122" s="2392"/>
      <c r="R122" s="2392"/>
      <c r="S122" s="728"/>
      <c r="T122" s="725"/>
      <c r="U122" s="634"/>
      <c r="V122" s="634"/>
      <c r="W122" s="635"/>
      <c r="X122" s="635"/>
      <c r="Y122" s="635"/>
      <c r="Z122" s="635"/>
      <c r="AA122" s="636"/>
      <c r="AB122" s="637"/>
      <c r="AC122" s="2384"/>
      <c r="AD122" s="638"/>
      <c r="AE122" s="639" t="s">
        <v>22</v>
      </c>
      <c r="AF122" s="639"/>
      <c r="AG122" s="640" t="s">
        <v>682</v>
      </c>
      <c r="AH122" s="641">
        <v>3</v>
      </c>
      <c r="AI122" s="634"/>
      <c r="AJ122" s="634"/>
      <c r="AK122" s="634"/>
      <c r="AL122" s="634"/>
      <c r="AM122" s="634"/>
      <c r="AN122" s="634"/>
      <c r="AO122" s="634"/>
      <c r="AP122" s="634"/>
      <c r="AQ122" s="634"/>
      <c r="AR122" s="634"/>
      <c r="AS122" s="634"/>
      <c r="AT122" s="634"/>
      <c r="AU122" s="634"/>
      <c r="AV122" s="634"/>
      <c r="AW122" s="634"/>
      <c r="AX122" s="634"/>
      <c r="AY122" s="634"/>
      <c r="AZ122" s="634"/>
      <c r="BA122" s="634"/>
      <c r="BB122" s="634"/>
      <c r="BC122" s="634"/>
      <c r="BD122" s="634"/>
      <c r="BE122" s="634"/>
      <c r="BF122" s="634"/>
      <c r="BG122" s="634"/>
      <c r="BH122" s="634"/>
      <c r="BI122" s="634"/>
      <c r="BJ122" s="634"/>
      <c r="BK122" s="634"/>
      <c r="BL122" s="634"/>
      <c r="BM122" s="634"/>
      <c r="BN122" s="634"/>
      <c r="BO122" s="634"/>
      <c r="BP122" s="634"/>
      <c r="BQ122" s="634"/>
      <c r="BR122" s="634"/>
      <c r="BS122" s="634"/>
      <c r="BT122" s="634"/>
      <c r="BU122" s="634"/>
      <c r="BV122" s="635"/>
      <c r="BW122" s="635"/>
      <c r="BX122" s="635"/>
      <c r="BY122" s="635"/>
      <c r="BZ122" s="635"/>
      <c r="CA122" s="635"/>
      <c r="CB122" s="635"/>
      <c r="CC122" s="635"/>
      <c r="CD122" s="635"/>
      <c r="CE122" s="635"/>
      <c r="CF122" s="1859"/>
    </row>
    <row customHeight="1" ht="15" hidden="1">
      <c r="A123" s="632"/>
      <c r="B123" s="633"/>
      <c r="C123" s="633"/>
      <c r="D123" s="2588"/>
      <c r="E123" s="2386" t="s">
        <v>637</v>
      </c>
      <c r="F123" s="2387"/>
      <c r="G123" s="2388"/>
      <c r="H123" s="2392" t="str">
        <f>IF(A122="","",INDEX(DIFFERENTIATION_UNMERGE_AREA,MATCH(A122,DIFFERENTIATION_ID_DIFF,0)))</f>
        <v>Территория 1</v>
      </c>
      <c r="I123" s="2392"/>
      <c r="J123" s="2392"/>
      <c r="K123" s="2392"/>
      <c r="L123" s="2392"/>
      <c r="M123" s="2392"/>
      <c r="N123" s="2392"/>
      <c r="O123" s="2392"/>
      <c r="P123" s="2392"/>
      <c r="Q123" s="2392"/>
      <c r="R123" s="2392"/>
      <c r="S123" s="728"/>
      <c r="T123" s="725"/>
      <c r="U123" s="634"/>
      <c r="V123" s="634"/>
      <c r="W123" s="635"/>
      <c r="X123" s="635"/>
      <c r="Y123" s="635"/>
      <c r="Z123" s="635"/>
      <c r="AA123" s="636"/>
      <c r="AB123" s="637"/>
      <c r="AC123" s="2384"/>
      <c r="AD123" s="638"/>
      <c r="AE123" s="639"/>
      <c r="AF123" s="639"/>
      <c r="AG123" s="640"/>
      <c r="AH123" s="641"/>
      <c r="AI123" s="634"/>
      <c r="AJ123" s="634"/>
      <c r="AK123" s="634"/>
      <c r="AL123" s="634"/>
      <c r="AM123" s="634"/>
      <c r="AN123" s="634"/>
      <c r="AO123" s="634"/>
      <c r="AP123" s="634"/>
      <c r="AQ123" s="634"/>
      <c r="AR123" s="634"/>
      <c r="AS123" s="634"/>
      <c r="AT123" s="634"/>
      <c r="AU123" s="634"/>
      <c r="AV123" s="634"/>
      <c r="AW123" s="634"/>
      <c r="AX123" s="634"/>
      <c r="AY123" s="634"/>
      <c r="AZ123" s="634"/>
      <c r="BA123" s="634"/>
      <c r="BB123" s="634"/>
      <c r="BC123" s="634"/>
      <c r="BD123" s="634"/>
      <c r="BE123" s="634"/>
      <c r="BF123" s="634"/>
      <c r="BG123" s="634"/>
      <c r="BH123" s="634"/>
      <c r="BI123" s="634"/>
      <c r="BJ123" s="634"/>
      <c r="BK123" s="634"/>
      <c r="BL123" s="634"/>
      <c r="BM123" s="634"/>
      <c r="BN123" s="634"/>
      <c r="BO123" s="634"/>
      <c r="BP123" s="634"/>
      <c r="BQ123" s="634"/>
      <c r="BR123" s="634"/>
      <c r="BS123" s="634"/>
      <c r="BT123" s="634"/>
      <c r="BU123" s="634"/>
      <c r="BV123" s="635"/>
      <c r="BW123" s="635"/>
      <c r="BX123" s="635"/>
      <c r="BY123" s="635"/>
      <c r="BZ123" s="635"/>
      <c r="CA123" s="635"/>
      <c r="CB123" s="635"/>
      <c r="CC123" s="635"/>
      <c r="CD123" s="635"/>
      <c r="CE123" s="635"/>
      <c r="CF123" s="1859"/>
    </row>
    <row customHeight="1" ht="15" hidden="1">
      <c r="A124" s="632"/>
      <c r="B124" s="633"/>
      <c r="C124" s="633"/>
      <c r="D124" s="2588"/>
      <c r="E124" s="2386" t="s">
        <v>638</v>
      </c>
      <c r="F124" s="2387"/>
      <c r="G124" s="2388"/>
      <c r="H124" s="2392" t="str">
        <f>IF(A122="","",INDEX(DIFFERENTIATION_UNMERGE_SYSTEM,MATCH(A122,DIFFERENTIATION_ID_DIFF,0)))</f>
        <v>ЦТП-1 ул.Морквашинская ок.д№7</v>
      </c>
      <c r="I124" s="2392"/>
      <c r="J124" s="2392"/>
      <c r="K124" s="2392"/>
      <c r="L124" s="2392"/>
      <c r="M124" s="2392"/>
      <c r="N124" s="2392"/>
      <c r="O124" s="2392"/>
      <c r="P124" s="2392"/>
      <c r="Q124" s="2392"/>
      <c r="R124" s="2392"/>
      <c r="S124" s="728"/>
      <c r="T124" s="725"/>
      <c r="U124" s="634"/>
      <c r="V124" s="634"/>
      <c r="W124" s="635"/>
      <c r="X124" s="635"/>
      <c r="Y124" s="635"/>
      <c r="Z124" s="635"/>
      <c r="AA124" s="636"/>
      <c r="AB124" s="637"/>
      <c r="AC124" s="2384"/>
      <c r="AD124" s="638"/>
      <c r="AE124" s="639"/>
      <c r="AF124" s="639"/>
      <c r="AG124" s="640"/>
      <c r="AH124" s="641"/>
      <c r="AI124" s="634"/>
      <c r="AJ124" s="634"/>
      <c r="AK124" s="634"/>
      <c r="AL124" s="634"/>
      <c r="AM124" s="634"/>
      <c r="AN124" s="634"/>
      <c r="AO124" s="634"/>
      <c r="AP124" s="634"/>
      <c r="AQ124" s="634"/>
      <c r="AR124" s="634"/>
      <c r="AS124" s="634"/>
      <c r="AT124" s="634"/>
      <c r="AU124" s="634"/>
      <c r="AV124" s="634"/>
      <c r="AW124" s="634"/>
      <c r="AX124" s="634"/>
      <c r="AY124" s="634"/>
      <c r="AZ124" s="634"/>
      <c r="BA124" s="634"/>
      <c r="BB124" s="634"/>
      <c r="BC124" s="634"/>
      <c r="BD124" s="634"/>
      <c r="BE124" s="634"/>
      <c r="BF124" s="634"/>
      <c r="BG124" s="634"/>
      <c r="BH124" s="634"/>
      <c r="BI124" s="634"/>
      <c r="BJ124" s="634"/>
      <c r="BK124" s="634"/>
      <c r="BL124" s="634"/>
      <c r="BM124" s="634"/>
      <c r="BN124" s="634"/>
      <c r="BO124" s="634"/>
      <c r="BP124" s="634"/>
      <c r="BQ124" s="634"/>
      <c r="BR124" s="634"/>
      <c r="BS124" s="634"/>
      <c r="BT124" s="634"/>
      <c r="BU124" s="634"/>
      <c r="BV124" s="635"/>
      <c r="BW124" s="635"/>
      <c r="BX124" s="635"/>
      <c r="BY124" s="635"/>
      <c r="BZ124" s="635"/>
      <c r="CA124" s="635"/>
      <c r="CB124" s="635"/>
      <c r="CC124" s="635"/>
      <c r="CD124" s="635"/>
      <c r="CE124" s="635"/>
      <c r="CF124" s="1859"/>
    </row>
    <row customHeight="1" ht="24.75" hidden="1">
      <c r="A125" s="1815"/>
      <c r="B125" s="1169"/>
      <c r="C125" s="421"/>
      <c r="D125" s="2588"/>
      <c r="E125" s="2385" t="s">
        <v>683</v>
      </c>
      <c r="F125" s="2385"/>
      <c r="G125" s="2385"/>
      <c r="H125" s="2385"/>
      <c r="I125" s="2385"/>
      <c r="J125" s="2385"/>
      <c r="K125" s="2385"/>
      <c r="L125" s="2385"/>
      <c r="M125" s="2385"/>
      <c r="N125" s="2385"/>
      <c r="O125" s="2385"/>
      <c r="P125" s="2385"/>
      <c r="Q125" s="567">
        <f>SUMIF(T126:T127,"i",Q126:Q127)</f>
        <v>0</v>
      </c>
      <c r="R125" s="1026"/>
      <c r="S125" s="1807" t="s">
        <v>684</v>
      </c>
      <c r="T125" s="726" t="s">
        <v>685</v>
      </c>
      <c r="U125" s="2383">
        <v>1</v>
      </c>
      <c r="V125" s="2383" t="s">
        <v>648</v>
      </c>
      <c r="W125" s="1169"/>
      <c r="X125" s="1169"/>
      <c r="Y125" s="1169"/>
      <c r="Z125" s="1169"/>
      <c r="AA125" s="1645"/>
      <c r="AB125" s="1169"/>
      <c r="AC125" s="2384"/>
      <c r="AD125" s="638"/>
      <c r="AE125" s="1169"/>
      <c r="AF125" s="1169"/>
      <c r="AG125" s="1645"/>
      <c r="AH125" s="1645"/>
      <c r="AI125" s="1645"/>
      <c r="AJ125" s="1645"/>
      <c r="AK125" s="1645"/>
      <c r="AL125" s="1645"/>
      <c r="AM125" s="1645"/>
      <c r="AN125" s="1645"/>
      <c r="AO125" s="1645"/>
      <c r="AP125" s="1645"/>
      <c r="AQ125" s="1645"/>
      <c r="AR125" s="1645"/>
      <c r="AS125" s="1645"/>
      <c r="AT125" s="1645"/>
      <c r="AU125" s="1645"/>
      <c r="AV125" s="1645"/>
      <c r="AW125" s="1645"/>
      <c r="AX125" s="1645"/>
      <c r="AY125" s="1645"/>
      <c r="AZ125" s="1645"/>
      <c r="BA125" s="1645"/>
      <c r="BB125" s="1645"/>
      <c r="BC125" s="1645"/>
      <c r="BD125" s="1645"/>
      <c r="BE125" s="1645"/>
      <c r="BF125" s="1645"/>
      <c r="BG125" s="1645"/>
      <c r="BH125" s="1645"/>
      <c r="BI125" s="1645"/>
      <c r="BJ125" s="1645"/>
      <c r="BK125" s="1645"/>
      <c r="BL125" s="1645"/>
      <c r="BM125" s="1645"/>
      <c r="BN125" s="1645"/>
      <c r="BO125" s="1645"/>
      <c r="BP125" s="1645"/>
      <c r="BQ125" s="1645"/>
      <c r="BR125" s="1645"/>
      <c r="BS125" s="1645"/>
      <c r="BT125" s="1645"/>
      <c r="BU125" s="1645"/>
      <c r="BV125" s="1169"/>
      <c r="BW125" s="1169"/>
      <c r="BX125" s="1169"/>
      <c r="BY125" s="1169"/>
      <c r="BZ125" s="1169"/>
      <c r="CA125" s="1169"/>
      <c r="CB125" s="1169"/>
      <c r="CC125" s="1169"/>
      <c r="CD125" s="1169"/>
      <c r="CE125" s="1169"/>
      <c r="CF125" s="1859"/>
    </row>
    <row customHeight="1" ht="11.25" hidden="1">
      <c r="A126" s="1802"/>
      <c r="B126" s="1645"/>
      <c r="C126" s="1645"/>
      <c r="D126" s="2588"/>
      <c r="E126" s="644"/>
      <c r="F126" s="644">
        <v>0</v>
      </c>
      <c r="G126" s="644"/>
      <c r="H126" s="644"/>
      <c r="I126" s="644"/>
      <c r="J126" s="644"/>
      <c r="K126" s="644"/>
      <c r="L126" s="644"/>
      <c r="M126" s="644"/>
      <c r="N126" s="644"/>
      <c r="O126" s="644"/>
      <c r="P126" s="644"/>
      <c r="Q126" s="644"/>
      <c r="R126" s="644"/>
      <c r="S126" s="645"/>
      <c r="T126" s="727"/>
      <c r="U126" s="2383"/>
      <c r="V126" s="2383"/>
      <c r="W126" s="1645"/>
      <c r="X126" s="1645"/>
      <c r="Y126" s="1645"/>
      <c r="Z126" s="1645"/>
      <c r="AA126" s="1645"/>
      <c r="AB126" s="1169"/>
      <c r="AC126" s="2384"/>
      <c r="AD126" s="638"/>
      <c r="AE126" s="1169"/>
      <c r="AF126" s="1169"/>
      <c r="AG126" s="1645"/>
      <c r="AH126" s="1645"/>
      <c r="AI126" s="1645"/>
      <c r="AJ126" s="1645"/>
      <c r="AK126" s="1645"/>
      <c r="AL126" s="1645"/>
      <c r="AM126" s="1645"/>
      <c r="AN126" s="1645"/>
      <c r="AO126" s="1645"/>
      <c r="AP126" s="1645"/>
      <c r="AQ126" s="1645"/>
      <c r="AR126" s="1645"/>
      <c r="AS126" s="1645"/>
      <c r="AT126" s="1645"/>
      <c r="AU126" s="1645"/>
      <c r="AV126" s="1645"/>
      <c r="AW126" s="1645"/>
      <c r="AX126" s="1645"/>
      <c r="AY126" s="1645"/>
      <c r="AZ126" s="1645"/>
      <c r="BA126" s="1645"/>
      <c r="BB126" s="1645"/>
      <c r="BC126" s="1645"/>
      <c r="BD126" s="1645"/>
      <c r="BE126" s="1645"/>
      <c r="BF126" s="1645"/>
      <c r="BG126" s="1645"/>
      <c r="BH126" s="1645"/>
      <c r="BI126" s="1645"/>
      <c r="BJ126" s="1645"/>
      <c r="BK126" s="1645"/>
      <c r="BL126" s="1645"/>
      <c r="BM126" s="1645"/>
      <c r="BN126" s="1645"/>
      <c r="BO126" s="1645"/>
      <c r="BP126" s="1645"/>
      <c r="BQ126" s="1645"/>
      <c r="BR126" s="1645"/>
      <c r="BS126" s="1645"/>
      <c r="BT126" s="1645"/>
      <c r="BU126" s="1645"/>
      <c r="BV126" s="1645"/>
      <c r="BW126" s="1645"/>
      <c r="BX126" s="1645"/>
      <c r="BY126" s="1645"/>
      <c r="BZ126" s="1645"/>
      <c r="CA126" s="1645"/>
      <c r="CB126" s="1645"/>
      <c r="CC126" s="1645"/>
      <c r="CD126" s="1645"/>
      <c r="CE126" s="1645"/>
      <c r="CF126" s="1859"/>
    </row>
    <row customHeight="1" ht="11.25" hidden="1">
      <c r="A127" s="1815"/>
      <c r="B127" s="1169"/>
      <c r="C127" s="421"/>
      <c r="D127" s="2588"/>
      <c r="E127" s="658" t="s">
        <v>22</v>
      </c>
      <c r="F127" s="1177" t="s">
        <v>22</v>
      </c>
      <c r="G127" s="1177" t="s">
        <v>688</v>
      </c>
      <c r="H127" s="660" t="s">
        <v>22</v>
      </c>
      <c r="I127" s="660"/>
      <c r="J127" s="660"/>
      <c r="K127" s="660"/>
      <c r="L127" s="660"/>
      <c r="M127" s="660"/>
      <c r="N127" s="660"/>
      <c r="O127" s="660"/>
      <c r="P127" s="660"/>
      <c r="Q127" s="660"/>
      <c r="R127" s="661"/>
      <c r="S127" s="662"/>
      <c r="T127" s="727"/>
      <c r="U127" s="2383"/>
      <c r="V127" s="2383"/>
      <c r="W127" s="1169"/>
      <c r="X127" s="1169"/>
      <c r="Y127" s="1169"/>
      <c r="Z127" s="1169"/>
      <c r="AA127" s="1645"/>
      <c r="AB127" s="1169"/>
      <c r="AC127" s="2384"/>
      <c r="AD127" s="638"/>
      <c r="AE127" s="1169"/>
      <c r="AF127" s="1169"/>
      <c r="AG127" s="1645"/>
      <c r="AH127" s="1645"/>
      <c r="AI127" s="1645"/>
      <c r="AJ127" s="1645"/>
      <c r="AK127" s="1645"/>
      <c r="AL127" s="1645"/>
      <c r="AM127" s="1645"/>
      <c r="AN127" s="1645"/>
      <c r="AO127" s="1645"/>
      <c r="AP127" s="1645"/>
      <c r="AQ127" s="1645"/>
      <c r="AR127" s="1645"/>
      <c r="AS127" s="1645"/>
      <c r="AT127" s="1645"/>
      <c r="AU127" s="1645"/>
      <c r="AV127" s="1645"/>
      <c r="AW127" s="1645"/>
      <c r="AX127" s="1645"/>
      <c r="AY127" s="1645"/>
      <c r="AZ127" s="1645"/>
      <c r="BA127" s="1645"/>
      <c r="BB127" s="1645"/>
      <c r="BC127" s="1645"/>
      <c r="BD127" s="1645"/>
      <c r="BE127" s="1645"/>
      <c r="BF127" s="1645"/>
      <c r="BG127" s="1645"/>
      <c r="BH127" s="1645"/>
      <c r="BI127" s="1645"/>
      <c r="BJ127" s="1645"/>
      <c r="BK127" s="1645"/>
      <c r="BL127" s="1645"/>
      <c r="BM127" s="1645"/>
      <c r="BN127" s="1645"/>
      <c r="BO127" s="1645"/>
      <c r="BP127" s="1645"/>
      <c r="BQ127" s="1645"/>
      <c r="BR127" s="1645"/>
      <c r="BS127" s="1645"/>
      <c r="BT127" s="1645"/>
      <c r="BU127" s="1645"/>
      <c r="BV127" s="1169"/>
      <c r="BW127" s="1169"/>
      <c r="BX127" s="1169"/>
      <c r="BY127" s="1169"/>
      <c r="BZ127" s="1169"/>
      <c r="CA127" s="1169"/>
      <c r="CB127" s="1169"/>
      <c r="CC127" s="1169"/>
      <c r="CD127" s="1169"/>
      <c r="CE127" s="1169"/>
      <c r="CF127" s="1859"/>
    </row>
    <row customHeight="1" ht="5.25" hidden="1">
      <c r="A128" s="1802"/>
      <c r="B128" s="1645"/>
      <c r="C128" s="1645"/>
      <c r="D128" s="2588"/>
      <c r="E128" s="1048"/>
      <c r="F128" s="1048"/>
      <c r="G128" s="1048"/>
      <c r="H128" s="1048"/>
      <c r="I128" s="1048"/>
      <c r="J128" s="1048"/>
      <c r="K128" s="1048"/>
      <c r="L128" s="1048"/>
      <c r="M128" s="1048"/>
      <c r="N128" s="1048"/>
      <c r="O128" s="1048"/>
      <c r="P128" s="1048"/>
      <c r="Q128" s="1049"/>
      <c r="R128" s="1050"/>
      <c r="S128" s="1051"/>
      <c r="T128" s="726" t="s">
        <v>685</v>
      </c>
      <c r="U128" s="2383">
        <v>1</v>
      </c>
      <c r="V128" s="2383" t="s">
        <v>648</v>
      </c>
      <c r="W128" s="1645"/>
      <c r="X128" s="1645"/>
      <c r="Y128" s="1645"/>
      <c r="Z128" s="1645"/>
      <c r="AA128" s="1645"/>
      <c r="AB128" s="1645"/>
      <c r="AC128" s="1046"/>
      <c r="AD128" s="1047"/>
      <c r="AE128" s="1645"/>
      <c r="AF128" s="1645"/>
      <c r="AG128" s="1645"/>
      <c r="AH128" s="1645"/>
      <c r="AI128" s="1645"/>
      <c r="AJ128" s="1645"/>
      <c r="AK128" s="1645"/>
      <c r="AL128" s="1645"/>
      <c r="AM128" s="1645"/>
      <c r="AN128" s="1645"/>
      <c r="AO128" s="1645"/>
      <c r="AP128" s="1645"/>
      <c r="AQ128" s="1645"/>
      <c r="AR128" s="1645"/>
      <c r="AS128" s="1645"/>
      <c r="AT128" s="1645"/>
      <c r="AU128" s="1645"/>
      <c r="AV128" s="1645"/>
      <c r="AW128" s="1645"/>
      <c r="AX128" s="1645"/>
      <c r="AY128" s="1645"/>
      <c r="AZ128" s="1645"/>
      <c r="BA128" s="1645"/>
      <c r="BB128" s="1645"/>
      <c r="BC128" s="1645"/>
      <c r="BD128" s="1645"/>
      <c r="BE128" s="1645"/>
      <c r="BF128" s="1645"/>
      <c r="BG128" s="1645"/>
      <c r="BH128" s="1645"/>
      <c r="BI128" s="1645"/>
      <c r="BJ128" s="1645"/>
      <c r="BK128" s="1645"/>
      <c r="BL128" s="1645"/>
      <c r="BM128" s="1645"/>
      <c r="BN128" s="1645"/>
      <c r="BO128" s="1645"/>
      <c r="BP128" s="1645"/>
      <c r="BQ128" s="1645"/>
      <c r="BR128" s="1645"/>
      <c r="BS128" s="1645"/>
      <c r="BT128" s="1645"/>
      <c r="BU128" s="1645"/>
      <c r="BV128" s="1645"/>
      <c r="BW128" s="1645"/>
      <c r="BX128" s="1645"/>
      <c r="BY128" s="1645"/>
      <c r="BZ128" s="1645"/>
      <c r="CA128" s="1645"/>
      <c r="CB128" s="1645"/>
      <c r="CC128" s="1645"/>
      <c r="CD128" s="1645"/>
      <c r="CE128" s="1645"/>
      <c r="CF128" s="1325"/>
    </row>
    <row customHeight="1" ht="5.25" hidden="1">
      <c r="A129" s="1802"/>
      <c r="B129" s="1645"/>
      <c r="C129" s="1645"/>
      <c r="D129" s="2588"/>
      <c r="E129" s="644"/>
      <c r="F129" s="644"/>
      <c r="G129" s="644"/>
      <c r="H129" s="644"/>
      <c r="I129" s="644"/>
      <c r="J129" s="644"/>
      <c r="K129" s="644"/>
      <c r="L129" s="644"/>
      <c r="M129" s="644"/>
      <c r="N129" s="644"/>
      <c r="O129" s="644"/>
      <c r="P129" s="644"/>
      <c r="Q129" s="644"/>
      <c r="R129" s="644"/>
      <c r="S129" s="645"/>
      <c r="T129" s="727"/>
      <c r="U129" s="2383"/>
      <c r="V129" s="2383"/>
      <c r="W129" s="1645"/>
      <c r="X129" s="1645"/>
      <c r="Y129" s="1645"/>
      <c r="Z129" s="1645"/>
      <c r="AA129" s="1645"/>
      <c r="AB129" s="1645"/>
      <c r="AC129" s="1046"/>
      <c r="AD129" s="1047"/>
      <c r="AE129" s="1645"/>
      <c r="AF129" s="1645"/>
      <c r="AG129" s="1645"/>
      <c r="AH129" s="1645"/>
      <c r="AI129" s="1645"/>
      <c r="AJ129" s="1645"/>
      <c r="AK129" s="1645"/>
      <c r="AL129" s="1645"/>
      <c r="AM129" s="1645"/>
      <c r="AN129" s="1645"/>
      <c r="AO129" s="1645"/>
      <c r="AP129" s="1645"/>
      <c r="AQ129" s="1645"/>
      <c r="AR129" s="1645"/>
      <c r="AS129" s="1645"/>
      <c r="AT129" s="1645"/>
      <c r="AU129" s="1645"/>
      <c r="AV129" s="1645"/>
      <c r="AW129" s="1645"/>
      <c r="AX129" s="1645"/>
      <c r="AY129" s="1645"/>
      <c r="AZ129" s="1645"/>
      <c r="BA129" s="1645"/>
      <c r="BB129" s="1645"/>
      <c r="BC129" s="1645"/>
      <c r="BD129" s="1645"/>
      <c r="BE129" s="1645"/>
      <c r="BF129" s="1645"/>
      <c r="BG129" s="1645"/>
      <c r="BH129" s="1645"/>
      <c r="BI129" s="1645"/>
      <c r="BJ129" s="1645"/>
      <c r="BK129" s="1645"/>
      <c r="BL129" s="1645"/>
      <c r="BM129" s="1645"/>
      <c r="BN129" s="1645"/>
      <c r="BO129" s="1645"/>
      <c r="BP129" s="1645"/>
      <c r="BQ129" s="1645"/>
      <c r="BR129" s="1645"/>
      <c r="BS129" s="1645"/>
      <c r="BT129" s="1645"/>
      <c r="BU129" s="1645"/>
      <c r="BV129" s="1645"/>
      <c r="BW129" s="1645"/>
      <c r="BX129" s="1645"/>
      <c r="BY129" s="1645"/>
      <c r="BZ129" s="1645"/>
      <c r="CA129" s="1645"/>
      <c r="CB129" s="1645"/>
      <c r="CC129" s="1645"/>
      <c r="CD129" s="1645"/>
      <c r="CE129" s="1645"/>
      <c r="CF129" s="1325"/>
    </row>
    <row customHeight="1" ht="5.25" hidden="1">
      <c r="A130" s="1802"/>
      <c r="B130" s="1645"/>
      <c r="C130" s="1645"/>
      <c r="D130" s="2589"/>
      <c r="E130" s="1052"/>
      <c r="F130" s="1053"/>
      <c r="G130" s="1053"/>
      <c r="H130" s="1054"/>
      <c r="I130" s="1054"/>
      <c r="J130" s="1054"/>
      <c r="K130" s="1054"/>
      <c r="L130" s="1054"/>
      <c r="M130" s="1054"/>
      <c r="N130" s="1054"/>
      <c r="O130" s="1054"/>
      <c r="P130" s="1054"/>
      <c r="Q130" s="1054"/>
      <c r="R130" s="955"/>
      <c r="S130" s="1055"/>
      <c r="T130" s="727"/>
      <c r="U130" s="2383"/>
      <c r="V130" s="2383"/>
      <c r="W130" s="1645"/>
      <c r="X130" s="1645"/>
      <c r="Y130" s="1645"/>
      <c r="Z130" s="1645"/>
      <c r="AA130" s="1645"/>
      <c r="AB130" s="1645"/>
      <c r="AC130" s="1046"/>
      <c r="AD130" s="1047"/>
      <c r="AE130" s="1645"/>
      <c r="AF130" s="1645"/>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645"/>
      <c r="BW130" s="1645"/>
      <c r="BX130" s="1645"/>
      <c r="BY130" s="1645"/>
      <c r="BZ130" s="1645"/>
      <c r="CA130" s="1645"/>
      <c r="CB130" s="1645"/>
      <c r="CC130" s="1645"/>
      <c r="CD130" s="1645"/>
      <c r="CE130" s="1645"/>
      <c r="CF130" s="1325"/>
    </row>
    <row customHeight="1" ht="15" hidden="1">
      <c r="A131" s="632" t="s">
        <v>153</v>
      </c>
      <c r="B131" s="633"/>
      <c r="C131" s="633" t="s">
        <v>22</v>
      </c>
      <c r="D131" s="2587" t="s">
        <v>700</v>
      </c>
      <c r="E131" s="2386" t="s">
        <v>105</v>
      </c>
      <c r="F131" s="2387"/>
      <c r="G131" s="2388"/>
      <c r="H131" s="2392" t="str">
        <f>IF(A131="","",INDEX(DIFFERENTIATION_UNMERGE_VD,MATCH(A131,DIFFERENTIATION_ID_DIFF,0)))</f>
        <v>Производство тепловой энергии. Некомбинированная выработка</v>
      </c>
      <c r="I131" s="2392"/>
      <c r="J131" s="2392"/>
      <c r="K131" s="2392"/>
      <c r="L131" s="2392"/>
      <c r="M131" s="2392"/>
      <c r="N131" s="2392"/>
      <c r="O131" s="2392"/>
      <c r="P131" s="2392"/>
      <c r="Q131" s="2392"/>
      <c r="R131" s="2392"/>
      <c r="S131" s="728"/>
      <c r="T131" s="725"/>
      <c r="U131" s="634"/>
      <c r="V131" s="634"/>
      <c r="W131" s="635"/>
      <c r="X131" s="635"/>
      <c r="Y131" s="635"/>
      <c r="Z131" s="635"/>
      <c r="AA131" s="636"/>
      <c r="AB131" s="637"/>
      <c r="AC131" s="2384"/>
      <c r="AD131" s="638"/>
      <c r="AE131" s="639" t="s">
        <v>22</v>
      </c>
      <c r="AF131" s="639"/>
      <c r="AG131" s="640" t="s">
        <v>682</v>
      </c>
      <c r="AH131" s="641">
        <v>3</v>
      </c>
      <c r="AI131" s="634"/>
      <c r="AJ131" s="634"/>
      <c r="AK131" s="634"/>
      <c r="AL131" s="634"/>
      <c r="AM131" s="634"/>
      <c r="AN131" s="634"/>
      <c r="AO131" s="634"/>
      <c r="AP131" s="634"/>
      <c r="AQ131" s="634"/>
      <c r="AR131" s="634"/>
      <c r="AS131" s="634"/>
      <c r="AT131" s="634"/>
      <c r="AU131" s="634"/>
      <c r="AV131" s="634"/>
      <c r="AW131" s="634"/>
      <c r="AX131" s="634"/>
      <c r="AY131" s="634"/>
      <c r="AZ131" s="634"/>
      <c r="BA131" s="634"/>
      <c r="BB131" s="634"/>
      <c r="BC131" s="634"/>
      <c r="BD131" s="634"/>
      <c r="BE131" s="634"/>
      <c r="BF131" s="634"/>
      <c r="BG131" s="634"/>
      <c r="BH131" s="634"/>
      <c r="BI131" s="634"/>
      <c r="BJ131" s="634"/>
      <c r="BK131" s="634"/>
      <c r="BL131" s="634"/>
      <c r="BM131" s="634"/>
      <c r="BN131" s="634"/>
      <c r="BO131" s="634"/>
      <c r="BP131" s="634"/>
      <c r="BQ131" s="634"/>
      <c r="BR131" s="634"/>
      <c r="BS131" s="634"/>
      <c r="BT131" s="634"/>
      <c r="BU131" s="634"/>
      <c r="BV131" s="635"/>
      <c r="BW131" s="635"/>
      <c r="BX131" s="635"/>
      <c r="BY131" s="635"/>
      <c r="BZ131" s="635"/>
      <c r="CA131" s="635"/>
      <c r="CB131" s="635"/>
      <c r="CC131" s="635"/>
      <c r="CD131" s="635"/>
      <c r="CE131" s="635"/>
      <c r="CF131" s="1859"/>
    </row>
    <row customHeight="1" ht="15" hidden="1">
      <c r="A132" s="632"/>
      <c r="B132" s="633"/>
      <c r="C132" s="633"/>
      <c r="D132" s="2588"/>
      <c r="E132" s="2386" t="s">
        <v>637</v>
      </c>
      <c r="F132" s="2387"/>
      <c r="G132" s="2388"/>
      <c r="H132" s="2392" t="str">
        <f>IF(A131="","",INDEX(DIFFERENTIATION_UNMERGE_AREA,MATCH(A131,DIFFERENTIATION_ID_DIFF,0)))</f>
        <v>Территория 1</v>
      </c>
      <c r="I132" s="2392"/>
      <c r="J132" s="2392"/>
      <c r="K132" s="2392"/>
      <c r="L132" s="2392"/>
      <c r="M132" s="2392"/>
      <c r="N132" s="2392"/>
      <c r="O132" s="2392"/>
      <c r="P132" s="2392"/>
      <c r="Q132" s="2392"/>
      <c r="R132" s="2392"/>
      <c r="S132" s="728"/>
      <c r="T132" s="725"/>
      <c r="U132" s="634"/>
      <c r="V132" s="634"/>
      <c r="W132" s="635"/>
      <c r="X132" s="635"/>
      <c r="Y132" s="635"/>
      <c r="Z132" s="635"/>
      <c r="AA132" s="636"/>
      <c r="AB132" s="637"/>
      <c r="AC132" s="2384"/>
      <c r="AD132" s="638"/>
      <c r="AE132" s="639"/>
      <c r="AF132" s="639"/>
      <c r="AG132" s="640"/>
      <c r="AH132" s="641"/>
      <c r="AI132" s="634"/>
      <c r="AJ132" s="634"/>
      <c r="AK132" s="634"/>
      <c r="AL132" s="634"/>
      <c r="AM132" s="634"/>
      <c r="AN132" s="634"/>
      <c r="AO132" s="634"/>
      <c r="AP132" s="634"/>
      <c r="AQ132" s="634"/>
      <c r="AR132" s="634"/>
      <c r="AS132" s="634"/>
      <c r="AT132" s="634"/>
      <c r="AU132" s="634"/>
      <c r="AV132" s="634"/>
      <c r="AW132" s="634"/>
      <c r="AX132" s="634"/>
      <c r="AY132" s="634"/>
      <c r="AZ132" s="634"/>
      <c r="BA132" s="634"/>
      <c r="BB132" s="634"/>
      <c r="BC132" s="634"/>
      <c r="BD132" s="634"/>
      <c r="BE132" s="634"/>
      <c r="BF132" s="634"/>
      <c r="BG132" s="634"/>
      <c r="BH132" s="634"/>
      <c r="BI132" s="634"/>
      <c r="BJ132" s="634"/>
      <c r="BK132" s="634"/>
      <c r="BL132" s="634"/>
      <c r="BM132" s="634"/>
      <c r="BN132" s="634"/>
      <c r="BO132" s="634"/>
      <c r="BP132" s="634"/>
      <c r="BQ132" s="634"/>
      <c r="BR132" s="634"/>
      <c r="BS132" s="634"/>
      <c r="BT132" s="634"/>
      <c r="BU132" s="634"/>
      <c r="BV132" s="635"/>
      <c r="BW132" s="635"/>
      <c r="BX132" s="635"/>
      <c r="BY132" s="635"/>
      <c r="BZ132" s="635"/>
      <c r="CA132" s="635"/>
      <c r="CB132" s="635"/>
      <c r="CC132" s="635"/>
      <c r="CD132" s="635"/>
      <c r="CE132" s="635"/>
      <c r="CF132" s="1859"/>
    </row>
    <row customHeight="1" ht="15" hidden="1">
      <c r="A133" s="632"/>
      <c r="B133" s="633"/>
      <c r="C133" s="633"/>
      <c r="D133" s="2588"/>
      <c r="E133" s="2386" t="s">
        <v>638</v>
      </c>
      <c r="F133" s="2387"/>
      <c r="G133" s="2388"/>
      <c r="H133" s="2392" t="str">
        <f>IF(A131="","",INDEX(DIFFERENTIATION_UNMERGE_SYSTEM,MATCH(A131,DIFFERENTIATION_ID_DIFF,0)))</f>
        <v>ЦТП-2, В-1,ок.д.№10</v>
      </c>
      <c r="I133" s="2392"/>
      <c r="J133" s="2392"/>
      <c r="K133" s="2392"/>
      <c r="L133" s="2392"/>
      <c r="M133" s="2392"/>
      <c r="N133" s="2392"/>
      <c r="O133" s="2392"/>
      <c r="P133" s="2392"/>
      <c r="Q133" s="2392"/>
      <c r="R133" s="2392"/>
      <c r="S133" s="728"/>
      <c r="T133" s="725"/>
      <c r="U133" s="634"/>
      <c r="V133" s="634"/>
      <c r="W133" s="635"/>
      <c r="X133" s="635"/>
      <c r="Y133" s="635"/>
      <c r="Z133" s="635"/>
      <c r="AA133" s="636"/>
      <c r="AB133" s="637"/>
      <c r="AC133" s="2384"/>
      <c r="AD133" s="638"/>
      <c r="AE133" s="639"/>
      <c r="AF133" s="639"/>
      <c r="AG133" s="640"/>
      <c r="AH133" s="641"/>
      <c r="AI133" s="634"/>
      <c r="AJ133" s="634"/>
      <c r="AK133" s="634"/>
      <c r="AL133" s="634"/>
      <c r="AM133" s="634"/>
      <c r="AN133" s="634"/>
      <c r="AO133" s="634"/>
      <c r="AP133" s="634"/>
      <c r="AQ133" s="634"/>
      <c r="AR133" s="634"/>
      <c r="AS133" s="634"/>
      <c r="AT133" s="634"/>
      <c r="AU133" s="634"/>
      <c r="AV133" s="634"/>
      <c r="AW133" s="634"/>
      <c r="AX133" s="634"/>
      <c r="AY133" s="634"/>
      <c r="AZ133" s="634"/>
      <c r="BA133" s="634"/>
      <c r="BB133" s="634"/>
      <c r="BC133" s="634"/>
      <c r="BD133" s="634"/>
      <c r="BE133" s="634"/>
      <c r="BF133" s="634"/>
      <c r="BG133" s="634"/>
      <c r="BH133" s="634"/>
      <c r="BI133" s="634"/>
      <c r="BJ133" s="634"/>
      <c r="BK133" s="634"/>
      <c r="BL133" s="634"/>
      <c r="BM133" s="634"/>
      <c r="BN133" s="634"/>
      <c r="BO133" s="634"/>
      <c r="BP133" s="634"/>
      <c r="BQ133" s="634"/>
      <c r="BR133" s="634"/>
      <c r="BS133" s="634"/>
      <c r="BT133" s="634"/>
      <c r="BU133" s="634"/>
      <c r="BV133" s="635"/>
      <c r="BW133" s="635"/>
      <c r="BX133" s="635"/>
      <c r="BY133" s="635"/>
      <c r="BZ133" s="635"/>
      <c r="CA133" s="635"/>
      <c r="CB133" s="635"/>
      <c r="CC133" s="635"/>
      <c r="CD133" s="635"/>
      <c r="CE133" s="635"/>
      <c r="CF133" s="1859"/>
    </row>
    <row customHeight="1" ht="24.75" hidden="1">
      <c r="A134" s="1815"/>
      <c r="B134" s="1169"/>
      <c r="C134" s="421"/>
      <c r="D134" s="2588"/>
      <c r="E134" s="2385" t="s">
        <v>683</v>
      </c>
      <c r="F134" s="2385"/>
      <c r="G134" s="2385"/>
      <c r="H134" s="2385"/>
      <c r="I134" s="2385"/>
      <c r="J134" s="2385"/>
      <c r="K134" s="2385"/>
      <c r="L134" s="2385"/>
      <c r="M134" s="2385"/>
      <c r="N134" s="2385"/>
      <c r="O134" s="2385"/>
      <c r="P134" s="2385"/>
      <c r="Q134" s="567">
        <f>SUMIF(T135:T136,"i",Q135:Q136)</f>
        <v>0</v>
      </c>
      <c r="R134" s="1026"/>
      <c r="S134" s="1807" t="s">
        <v>684</v>
      </c>
      <c r="T134" s="726" t="s">
        <v>685</v>
      </c>
      <c r="U134" s="2383">
        <v>1</v>
      </c>
      <c r="V134" s="2383" t="s">
        <v>648</v>
      </c>
      <c r="W134" s="1169"/>
      <c r="X134" s="1169"/>
      <c r="Y134" s="1169"/>
      <c r="Z134" s="1169"/>
      <c r="AA134" s="1645"/>
      <c r="AB134" s="1169"/>
      <c r="AC134" s="2384"/>
      <c r="AD134" s="638"/>
      <c r="AE134" s="1169"/>
      <c r="AF134" s="1169"/>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169"/>
      <c r="BW134" s="1169"/>
      <c r="BX134" s="1169"/>
      <c r="BY134" s="1169"/>
      <c r="BZ134" s="1169"/>
      <c r="CA134" s="1169"/>
      <c r="CB134" s="1169"/>
      <c r="CC134" s="1169"/>
      <c r="CD134" s="1169"/>
      <c r="CE134" s="1169"/>
      <c r="CF134" s="1859"/>
    </row>
    <row customHeight="1" ht="11.25" hidden="1">
      <c r="A135" s="1802"/>
      <c r="B135" s="1645"/>
      <c r="C135" s="1645"/>
      <c r="D135" s="2588"/>
      <c r="E135" s="644"/>
      <c r="F135" s="644">
        <v>0</v>
      </c>
      <c r="G135" s="644"/>
      <c r="H135" s="644"/>
      <c r="I135" s="644"/>
      <c r="J135" s="644"/>
      <c r="K135" s="644"/>
      <c r="L135" s="644"/>
      <c r="M135" s="644"/>
      <c r="N135" s="644"/>
      <c r="O135" s="644"/>
      <c r="P135" s="644"/>
      <c r="Q135" s="644"/>
      <c r="R135" s="644"/>
      <c r="S135" s="645"/>
      <c r="T135" s="727"/>
      <c r="U135" s="2383"/>
      <c r="V135" s="2383"/>
      <c r="W135" s="1645"/>
      <c r="X135" s="1645"/>
      <c r="Y135" s="1645"/>
      <c r="Z135" s="1645"/>
      <c r="AA135" s="1645"/>
      <c r="AB135" s="1169"/>
      <c r="AC135" s="2384"/>
      <c r="AD135" s="638"/>
      <c r="AE135" s="1169"/>
      <c r="AF135" s="1169"/>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c r="CF135" s="1859"/>
    </row>
    <row customHeight="1" ht="11.25" hidden="1">
      <c r="A136" s="1815"/>
      <c r="B136" s="1169"/>
      <c r="C136" s="421"/>
      <c r="D136" s="2588"/>
      <c r="E136" s="658" t="s">
        <v>22</v>
      </c>
      <c r="F136" s="1177" t="s">
        <v>22</v>
      </c>
      <c r="G136" s="1177" t="s">
        <v>688</v>
      </c>
      <c r="H136" s="660" t="s">
        <v>22</v>
      </c>
      <c r="I136" s="660"/>
      <c r="J136" s="660"/>
      <c r="K136" s="660"/>
      <c r="L136" s="660"/>
      <c r="M136" s="660"/>
      <c r="N136" s="660"/>
      <c r="O136" s="660"/>
      <c r="P136" s="660"/>
      <c r="Q136" s="660"/>
      <c r="R136" s="661"/>
      <c r="S136" s="662"/>
      <c r="T136" s="727"/>
      <c r="U136" s="2383"/>
      <c r="V136" s="2383"/>
      <c r="W136" s="1169"/>
      <c r="X136" s="1169"/>
      <c r="Y136" s="1169"/>
      <c r="Z136" s="1169"/>
      <c r="AA136" s="1645"/>
      <c r="AB136" s="1169"/>
      <c r="AC136" s="2384"/>
      <c r="AD136" s="638"/>
      <c r="AE136" s="1169"/>
      <c r="AF136" s="1169"/>
      <c r="AG136" s="1645"/>
      <c r="AH136" s="1645"/>
      <c r="AI136" s="1645"/>
      <c r="AJ136" s="1645"/>
      <c r="AK136" s="1645"/>
      <c r="AL136" s="1645"/>
      <c r="AM136" s="1645"/>
      <c r="AN136" s="1645"/>
      <c r="AO136" s="1645"/>
      <c r="AP136" s="1645"/>
      <c r="AQ136" s="1645"/>
      <c r="AR136" s="1645"/>
      <c r="AS136" s="1645"/>
      <c r="AT136" s="1645"/>
      <c r="AU136" s="1645"/>
      <c r="AV136" s="1645"/>
      <c r="AW136" s="1645"/>
      <c r="AX136" s="1645"/>
      <c r="AY136" s="1645"/>
      <c r="AZ136" s="1645"/>
      <c r="BA136" s="1645"/>
      <c r="BB136" s="1645"/>
      <c r="BC136" s="1645"/>
      <c r="BD136" s="1645"/>
      <c r="BE136" s="1645"/>
      <c r="BF136" s="1645"/>
      <c r="BG136" s="1645"/>
      <c r="BH136" s="1645"/>
      <c r="BI136" s="1645"/>
      <c r="BJ136" s="1645"/>
      <c r="BK136" s="1645"/>
      <c r="BL136" s="1645"/>
      <c r="BM136" s="1645"/>
      <c r="BN136" s="1645"/>
      <c r="BO136" s="1645"/>
      <c r="BP136" s="1645"/>
      <c r="BQ136" s="1645"/>
      <c r="BR136" s="1645"/>
      <c r="BS136" s="1645"/>
      <c r="BT136" s="1645"/>
      <c r="BU136" s="1645"/>
      <c r="BV136" s="1169"/>
      <c r="BW136" s="1169"/>
      <c r="BX136" s="1169"/>
      <c r="BY136" s="1169"/>
      <c r="BZ136" s="1169"/>
      <c r="CA136" s="1169"/>
      <c r="CB136" s="1169"/>
      <c r="CC136" s="1169"/>
      <c r="CD136" s="1169"/>
      <c r="CE136" s="1169"/>
      <c r="CF136" s="1859"/>
    </row>
    <row customHeight="1" ht="5.25" hidden="1">
      <c r="A137" s="1802"/>
      <c r="B137" s="1645"/>
      <c r="C137" s="1645"/>
      <c r="D137" s="2588"/>
      <c r="E137" s="1048"/>
      <c r="F137" s="1048"/>
      <c r="G137" s="1048"/>
      <c r="H137" s="1048"/>
      <c r="I137" s="1048"/>
      <c r="J137" s="1048"/>
      <c r="K137" s="1048"/>
      <c r="L137" s="1048"/>
      <c r="M137" s="1048"/>
      <c r="N137" s="1048"/>
      <c r="O137" s="1048"/>
      <c r="P137" s="1048"/>
      <c r="Q137" s="1049"/>
      <c r="R137" s="1050"/>
      <c r="S137" s="1051"/>
      <c r="T137" s="726" t="s">
        <v>685</v>
      </c>
      <c r="U137" s="2383">
        <v>1</v>
      </c>
      <c r="V137" s="2383" t="s">
        <v>648</v>
      </c>
      <c r="W137" s="1645"/>
      <c r="X137" s="1645"/>
      <c r="Y137" s="1645"/>
      <c r="Z137" s="1645"/>
      <c r="AA137" s="1645"/>
      <c r="AB137" s="1645"/>
      <c r="AC137" s="1046"/>
      <c r="AD137" s="1047"/>
      <c r="AE137" s="1645"/>
      <c r="AF137" s="1645"/>
      <c r="AG137" s="1645"/>
      <c r="AH137" s="1645"/>
      <c r="AI137" s="1645"/>
      <c r="AJ137" s="1645"/>
      <c r="AK137" s="1645"/>
      <c r="AL137" s="1645"/>
      <c r="AM137" s="1645"/>
      <c r="AN137" s="1645"/>
      <c r="AO137" s="1645"/>
      <c r="AP137" s="1645"/>
      <c r="AQ137" s="1645"/>
      <c r="AR137" s="1645"/>
      <c r="AS137" s="1645"/>
      <c r="AT137" s="1645"/>
      <c r="AU137" s="1645"/>
      <c r="AV137" s="1645"/>
      <c r="AW137" s="1645"/>
      <c r="AX137" s="1645"/>
      <c r="AY137" s="1645"/>
      <c r="AZ137" s="1645"/>
      <c r="BA137" s="1645"/>
      <c r="BB137" s="1645"/>
      <c r="BC137" s="1645"/>
      <c r="BD137" s="1645"/>
      <c r="BE137" s="1645"/>
      <c r="BF137" s="1645"/>
      <c r="BG137" s="1645"/>
      <c r="BH137" s="1645"/>
      <c r="BI137" s="1645"/>
      <c r="BJ137" s="1645"/>
      <c r="BK137" s="1645"/>
      <c r="BL137" s="1645"/>
      <c r="BM137" s="1645"/>
      <c r="BN137" s="1645"/>
      <c r="BO137" s="1645"/>
      <c r="BP137" s="1645"/>
      <c r="BQ137" s="1645"/>
      <c r="BR137" s="1645"/>
      <c r="BS137" s="1645"/>
      <c r="BT137" s="1645"/>
      <c r="BU137" s="1645"/>
      <c r="BV137" s="1645"/>
      <c r="BW137" s="1645"/>
      <c r="BX137" s="1645"/>
      <c r="BY137" s="1645"/>
      <c r="BZ137" s="1645"/>
      <c r="CA137" s="1645"/>
      <c r="CB137" s="1645"/>
      <c r="CC137" s="1645"/>
      <c r="CD137" s="1645"/>
      <c r="CE137" s="1645"/>
      <c r="CF137" s="1325"/>
    </row>
    <row customHeight="1" ht="5.25" hidden="1">
      <c r="A138" s="1802"/>
      <c r="B138" s="1645"/>
      <c r="C138" s="1645"/>
      <c r="D138" s="2588"/>
      <c r="E138" s="644"/>
      <c r="F138" s="644"/>
      <c r="G138" s="644"/>
      <c r="H138" s="644"/>
      <c r="I138" s="644"/>
      <c r="J138" s="644"/>
      <c r="K138" s="644"/>
      <c r="L138" s="644"/>
      <c r="M138" s="644"/>
      <c r="N138" s="644"/>
      <c r="O138" s="644"/>
      <c r="P138" s="644"/>
      <c r="Q138" s="644"/>
      <c r="R138" s="644"/>
      <c r="S138" s="645"/>
      <c r="T138" s="727"/>
      <c r="U138" s="2383"/>
      <c r="V138" s="2383"/>
      <c r="W138" s="1645"/>
      <c r="X138" s="1645"/>
      <c r="Y138" s="1645"/>
      <c r="Z138" s="1645"/>
      <c r="AA138" s="1645"/>
      <c r="AB138" s="1645"/>
      <c r="AC138" s="1046"/>
      <c r="AD138" s="1047"/>
      <c r="AE138" s="1645"/>
      <c r="AF138" s="1645"/>
      <c r="AG138" s="1645"/>
      <c r="AH138" s="1645"/>
      <c r="AI138" s="1645"/>
      <c r="AJ138" s="1645"/>
      <c r="AK138" s="1645"/>
      <c r="AL138" s="1645"/>
      <c r="AM138" s="1645"/>
      <c r="AN138" s="1645"/>
      <c r="AO138" s="1645"/>
      <c r="AP138" s="1645"/>
      <c r="AQ138" s="1645"/>
      <c r="AR138" s="1645"/>
      <c r="AS138" s="1645"/>
      <c r="AT138" s="1645"/>
      <c r="AU138" s="1645"/>
      <c r="AV138" s="1645"/>
      <c r="AW138" s="1645"/>
      <c r="AX138" s="1645"/>
      <c r="AY138" s="1645"/>
      <c r="AZ138" s="1645"/>
      <c r="BA138" s="1645"/>
      <c r="BB138" s="1645"/>
      <c r="BC138" s="1645"/>
      <c r="BD138" s="1645"/>
      <c r="BE138" s="1645"/>
      <c r="BF138" s="1645"/>
      <c r="BG138" s="1645"/>
      <c r="BH138" s="1645"/>
      <c r="BI138" s="1645"/>
      <c r="BJ138" s="1645"/>
      <c r="BK138" s="1645"/>
      <c r="BL138" s="1645"/>
      <c r="BM138" s="1645"/>
      <c r="BN138" s="1645"/>
      <c r="BO138" s="1645"/>
      <c r="BP138" s="1645"/>
      <c r="BQ138" s="1645"/>
      <c r="BR138" s="1645"/>
      <c r="BS138" s="1645"/>
      <c r="BT138" s="1645"/>
      <c r="BU138" s="1645"/>
      <c r="BV138" s="1645"/>
      <c r="BW138" s="1645"/>
      <c r="BX138" s="1645"/>
      <c r="BY138" s="1645"/>
      <c r="BZ138" s="1645"/>
      <c r="CA138" s="1645"/>
      <c r="CB138" s="1645"/>
      <c r="CC138" s="1645"/>
      <c r="CD138" s="1645"/>
      <c r="CE138" s="1645"/>
      <c r="CF138" s="1325"/>
    </row>
    <row customHeight="1" ht="5.25" hidden="1">
      <c r="A139" s="1802"/>
      <c r="B139" s="1645"/>
      <c r="C139" s="1645"/>
      <c r="D139" s="2589"/>
      <c r="E139" s="1052"/>
      <c r="F139" s="1053"/>
      <c r="G139" s="1053"/>
      <c r="H139" s="1054"/>
      <c r="I139" s="1054"/>
      <c r="J139" s="1054"/>
      <c r="K139" s="1054"/>
      <c r="L139" s="1054"/>
      <c r="M139" s="1054"/>
      <c r="N139" s="1054"/>
      <c r="O139" s="1054"/>
      <c r="P139" s="1054"/>
      <c r="Q139" s="1054"/>
      <c r="R139" s="955"/>
      <c r="S139" s="1055"/>
      <c r="T139" s="727"/>
      <c r="U139" s="2383"/>
      <c r="V139" s="2383"/>
      <c r="W139" s="1645"/>
      <c r="X139" s="1645"/>
      <c r="Y139" s="1645"/>
      <c r="Z139" s="1645"/>
      <c r="AA139" s="1645"/>
      <c r="AB139" s="1645"/>
      <c r="AC139" s="1046"/>
      <c r="AD139" s="1047"/>
      <c r="AE139" s="1645"/>
      <c r="AF139" s="1645"/>
      <c r="AG139" s="1645"/>
      <c r="AH139" s="1645"/>
      <c r="AI139" s="1645"/>
      <c r="AJ139" s="1645"/>
      <c r="AK139" s="1645"/>
      <c r="AL139" s="1645"/>
      <c r="AM139" s="1645"/>
      <c r="AN139" s="1645"/>
      <c r="AO139" s="1645"/>
      <c r="AP139" s="1645"/>
      <c r="AQ139" s="1645"/>
      <c r="AR139" s="1645"/>
      <c r="AS139" s="1645"/>
      <c r="AT139" s="1645"/>
      <c r="AU139" s="1645"/>
      <c r="AV139" s="1645"/>
      <c r="AW139" s="1645"/>
      <c r="AX139" s="1645"/>
      <c r="AY139" s="1645"/>
      <c r="AZ139" s="1645"/>
      <c r="BA139" s="1645"/>
      <c r="BB139" s="1645"/>
      <c r="BC139" s="1645"/>
      <c r="BD139" s="1645"/>
      <c r="BE139" s="1645"/>
      <c r="BF139" s="1645"/>
      <c r="BG139" s="1645"/>
      <c r="BH139" s="1645"/>
      <c r="BI139" s="1645"/>
      <c r="BJ139" s="1645"/>
      <c r="BK139" s="1645"/>
      <c r="BL139" s="1645"/>
      <c r="BM139" s="1645"/>
      <c r="BN139" s="1645"/>
      <c r="BO139" s="1645"/>
      <c r="BP139" s="1645"/>
      <c r="BQ139" s="1645"/>
      <c r="BR139" s="1645"/>
      <c r="BS139" s="1645"/>
      <c r="BT139" s="1645"/>
      <c r="BU139" s="1645"/>
      <c r="BV139" s="1645"/>
      <c r="BW139" s="1645"/>
      <c r="BX139" s="1645"/>
      <c r="BY139" s="1645"/>
      <c r="BZ139" s="1645"/>
      <c r="CA139" s="1645"/>
      <c r="CB139" s="1645"/>
      <c r="CC139" s="1645"/>
      <c r="CD139" s="1645"/>
      <c r="CE139" s="1645"/>
      <c r="CF139" s="1325"/>
    </row>
    <row customHeight="1" ht="15" hidden="1">
      <c r="A140" s="632" t="s">
        <v>156</v>
      </c>
      <c r="B140" s="633"/>
      <c r="C140" s="633" t="s">
        <v>22</v>
      </c>
      <c r="D140" s="2587" t="s">
        <v>701</v>
      </c>
      <c r="E140" s="2386" t="s">
        <v>105</v>
      </c>
      <c r="F140" s="2387"/>
      <c r="G140" s="2388"/>
      <c r="H140" s="2392" t="str">
        <f>IF(A140="","",INDEX(DIFFERENTIATION_UNMERGE_VD,MATCH(A140,DIFFERENTIATION_ID_DIFF,0)))</f>
        <v>Производство тепловой энергии. Некомбинированная выработка</v>
      </c>
      <c r="I140" s="2392"/>
      <c r="J140" s="2392"/>
      <c r="K140" s="2392"/>
      <c r="L140" s="2392"/>
      <c r="M140" s="2392"/>
      <c r="N140" s="2392"/>
      <c r="O140" s="2392"/>
      <c r="P140" s="2392"/>
      <c r="Q140" s="2392"/>
      <c r="R140" s="2392"/>
      <c r="S140" s="728"/>
      <c r="T140" s="725"/>
      <c r="U140" s="634"/>
      <c r="V140" s="634"/>
      <c r="W140" s="635"/>
      <c r="X140" s="635"/>
      <c r="Y140" s="635"/>
      <c r="Z140" s="635"/>
      <c r="AA140" s="636"/>
      <c r="AB140" s="637"/>
      <c r="AC140" s="2384"/>
      <c r="AD140" s="638"/>
      <c r="AE140" s="639" t="s">
        <v>22</v>
      </c>
      <c r="AF140" s="639"/>
      <c r="AG140" s="640" t="s">
        <v>682</v>
      </c>
      <c r="AH140" s="641">
        <v>3</v>
      </c>
      <c r="AI140" s="634"/>
      <c r="AJ140" s="634"/>
      <c r="AK140" s="634"/>
      <c r="AL140" s="634"/>
      <c r="AM140" s="634"/>
      <c r="AN140" s="634"/>
      <c r="AO140" s="634"/>
      <c r="AP140" s="634"/>
      <c r="AQ140" s="634"/>
      <c r="AR140" s="634"/>
      <c r="AS140" s="634"/>
      <c r="AT140" s="634"/>
      <c r="AU140" s="634"/>
      <c r="AV140" s="634"/>
      <c r="AW140" s="634"/>
      <c r="AX140" s="634"/>
      <c r="AY140" s="634"/>
      <c r="AZ140" s="634"/>
      <c r="BA140" s="634"/>
      <c r="BB140" s="634"/>
      <c r="BC140" s="634"/>
      <c r="BD140" s="634"/>
      <c r="BE140" s="634"/>
      <c r="BF140" s="634"/>
      <c r="BG140" s="634"/>
      <c r="BH140" s="634"/>
      <c r="BI140" s="634"/>
      <c r="BJ140" s="634"/>
      <c r="BK140" s="634"/>
      <c r="BL140" s="634"/>
      <c r="BM140" s="634"/>
      <c r="BN140" s="634"/>
      <c r="BO140" s="634"/>
      <c r="BP140" s="634"/>
      <c r="BQ140" s="634"/>
      <c r="BR140" s="634"/>
      <c r="BS140" s="634"/>
      <c r="BT140" s="634"/>
      <c r="BU140" s="634"/>
      <c r="BV140" s="635"/>
      <c r="BW140" s="635"/>
      <c r="BX140" s="635"/>
      <c r="BY140" s="635"/>
      <c r="BZ140" s="635"/>
      <c r="CA140" s="635"/>
      <c r="CB140" s="635"/>
      <c r="CC140" s="635"/>
      <c r="CD140" s="635"/>
      <c r="CE140" s="635"/>
      <c r="CF140" s="1859"/>
    </row>
    <row customHeight="1" ht="15" hidden="1">
      <c r="A141" s="632"/>
      <c r="B141" s="633"/>
      <c r="C141" s="633"/>
      <c r="D141" s="2588"/>
      <c r="E141" s="2386" t="s">
        <v>637</v>
      </c>
      <c r="F141" s="2387"/>
      <c r="G141" s="2388"/>
      <c r="H141" s="2392" t="str">
        <f>IF(A140="","",INDEX(DIFFERENTIATION_UNMERGE_AREA,MATCH(A140,DIFFERENTIATION_ID_DIFF,0)))</f>
        <v>Территория 1</v>
      </c>
      <c r="I141" s="2392"/>
      <c r="J141" s="2392"/>
      <c r="K141" s="2392"/>
      <c r="L141" s="2392"/>
      <c r="M141" s="2392"/>
      <c r="N141" s="2392"/>
      <c r="O141" s="2392"/>
      <c r="P141" s="2392"/>
      <c r="Q141" s="2392"/>
      <c r="R141" s="2392"/>
      <c r="S141" s="728"/>
      <c r="T141" s="725"/>
      <c r="U141" s="634"/>
      <c r="V141" s="634"/>
      <c r="W141" s="635"/>
      <c r="X141" s="635"/>
      <c r="Y141" s="635"/>
      <c r="Z141" s="635"/>
      <c r="AA141" s="636"/>
      <c r="AB141" s="637"/>
      <c r="AC141" s="2384"/>
      <c r="AD141" s="638"/>
      <c r="AE141" s="639"/>
      <c r="AF141" s="639"/>
      <c r="AG141" s="640"/>
      <c r="AH141" s="641"/>
      <c r="AI141" s="634"/>
      <c r="AJ141" s="634"/>
      <c r="AK141" s="634"/>
      <c r="AL141" s="634"/>
      <c r="AM141" s="634"/>
      <c r="AN141" s="634"/>
      <c r="AO141" s="634"/>
      <c r="AP141" s="634"/>
      <c r="AQ141" s="634"/>
      <c r="AR141" s="634"/>
      <c r="AS141" s="634"/>
      <c r="AT141" s="634"/>
      <c r="AU141" s="634"/>
      <c r="AV141" s="634"/>
      <c r="AW141" s="634"/>
      <c r="AX141" s="634"/>
      <c r="AY141" s="634"/>
      <c r="AZ141" s="634"/>
      <c r="BA141" s="634"/>
      <c r="BB141" s="634"/>
      <c r="BC141" s="634"/>
      <c r="BD141" s="634"/>
      <c r="BE141" s="634"/>
      <c r="BF141" s="634"/>
      <c r="BG141" s="634"/>
      <c r="BH141" s="634"/>
      <c r="BI141" s="634"/>
      <c r="BJ141" s="634"/>
      <c r="BK141" s="634"/>
      <c r="BL141" s="634"/>
      <c r="BM141" s="634"/>
      <c r="BN141" s="634"/>
      <c r="BO141" s="634"/>
      <c r="BP141" s="634"/>
      <c r="BQ141" s="634"/>
      <c r="BR141" s="634"/>
      <c r="BS141" s="634"/>
      <c r="BT141" s="634"/>
      <c r="BU141" s="634"/>
      <c r="BV141" s="635"/>
      <c r="BW141" s="635"/>
      <c r="BX141" s="635"/>
      <c r="BY141" s="635"/>
      <c r="BZ141" s="635"/>
      <c r="CA141" s="635"/>
      <c r="CB141" s="635"/>
      <c r="CC141" s="635"/>
      <c r="CD141" s="635"/>
      <c r="CE141" s="635"/>
      <c r="CF141" s="1859"/>
    </row>
    <row customHeight="1" ht="15" hidden="1">
      <c r="A142" s="632"/>
      <c r="B142" s="633"/>
      <c r="C142" s="633"/>
      <c r="D142" s="2588"/>
      <c r="E142" s="2386" t="s">
        <v>638</v>
      </c>
      <c r="F142" s="2387"/>
      <c r="G142" s="2388"/>
      <c r="H142" s="2392" t="str">
        <f>IF(A140="","",INDEX(DIFFERENTIATION_UNMERGE_SYSTEM,MATCH(A140,DIFFERENTIATION_ID_DIFF,0)))</f>
        <v>ЦТП-9, ул.Пролетарская д.23/ул.Транспортная д.10</v>
      </c>
      <c r="I142" s="2392"/>
      <c r="J142" s="2392"/>
      <c r="K142" s="2392"/>
      <c r="L142" s="2392"/>
      <c r="M142" s="2392"/>
      <c r="N142" s="2392"/>
      <c r="O142" s="2392"/>
      <c r="P142" s="2392"/>
      <c r="Q142" s="2392"/>
      <c r="R142" s="2392"/>
      <c r="S142" s="728"/>
      <c r="T142" s="725"/>
      <c r="U142" s="634"/>
      <c r="V142" s="634"/>
      <c r="W142" s="635"/>
      <c r="X142" s="635"/>
      <c r="Y142" s="635"/>
      <c r="Z142" s="635"/>
      <c r="AA142" s="636"/>
      <c r="AB142" s="637"/>
      <c r="AC142" s="2384"/>
      <c r="AD142" s="638"/>
      <c r="AE142" s="639"/>
      <c r="AF142" s="639"/>
      <c r="AG142" s="640"/>
      <c r="AH142" s="641"/>
      <c r="AI142" s="634"/>
      <c r="AJ142" s="634"/>
      <c r="AK142" s="634"/>
      <c r="AL142" s="634"/>
      <c r="AM142" s="634"/>
      <c r="AN142" s="634"/>
      <c r="AO142" s="634"/>
      <c r="AP142" s="634"/>
      <c r="AQ142" s="634"/>
      <c r="AR142" s="634"/>
      <c r="AS142" s="634"/>
      <c r="AT142" s="634"/>
      <c r="AU142" s="634"/>
      <c r="AV142" s="634"/>
      <c r="AW142" s="634"/>
      <c r="AX142" s="634"/>
      <c r="AY142" s="634"/>
      <c r="AZ142" s="634"/>
      <c r="BA142" s="634"/>
      <c r="BB142" s="634"/>
      <c r="BC142" s="634"/>
      <c r="BD142" s="634"/>
      <c r="BE142" s="634"/>
      <c r="BF142" s="634"/>
      <c r="BG142" s="634"/>
      <c r="BH142" s="634"/>
      <c r="BI142" s="634"/>
      <c r="BJ142" s="634"/>
      <c r="BK142" s="634"/>
      <c r="BL142" s="634"/>
      <c r="BM142" s="634"/>
      <c r="BN142" s="634"/>
      <c r="BO142" s="634"/>
      <c r="BP142" s="634"/>
      <c r="BQ142" s="634"/>
      <c r="BR142" s="634"/>
      <c r="BS142" s="634"/>
      <c r="BT142" s="634"/>
      <c r="BU142" s="634"/>
      <c r="BV142" s="635"/>
      <c r="BW142" s="635"/>
      <c r="BX142" s="635"/>
      <c r="BY142" s="635"/>
      <c r="BZ142" s="635"/>
      <c r="CA142" s="635"/>
      <c r="CB142" s="635"/>
      <c r="CC142" s="635"/>
      <c r="CD142" s="635"/>
      <c r="CE142" s="635"/>
      <c r="CF142" s="1859"/>
    </row>
    <row customHeight="1" ht="24.75" hidden="1">
      <c r="A143" s="1815"/>
      <c r="B143" s="1169"/>
      <c r="C143" s="421"/>
      <c r="D143" s="2588"/>
      <c r="E143" s="2385" t="s">
        <v>683</v>
      </c>
      <c r="F143" s="2385"/>
      <c r="G143" s="2385"/>
      <c r="H143" s="2385"/>
      <c r="I143" s="2385"/>
      <c r="J143" s="2385"/>
      <c r="K143" s="2385"/>
      <c r="L143" s="2385"/>
      <c r="M143" s="2385"/>
      <c r="N143" s="2385"/>
      <c r="O143" s="2385"/>
      <c r="P143" s="2385"/>
      <c r="Q143" s="567">
        <f>SUMIF(T144:T145,"i",Q144:Q145)</f>
        <v>0</v>
      </c>
      <c r="R143" s="1026"/>
      <c r="S143" s="1807" t="s">
        <v>684</v>
      </c>
      <c r="T143" s="726" t="s">
        <v>685</v>
      </c>
      <c r="U143" s="2383">
        <v>1</v>
      </c>
      <c r="V143" s="2383" t="s">
        <v>648</v>
      </c>
      <c r="W143" s="1169"/>
      <c r="X143" s="1169"/>
      <c r="Y143" s="1169"/>
      <c r="Z143" s="1169"/>
      <c r="AA143" s="1645"/>
      <c r="AB143" s="1169"/>
      <c r="AC143" s="2384"/>
      <c r="AD143" s="638"/>
      <c r="AE143" s="1169"/>
      <c r="AF143" s="1169"/>
      <c r="AG143" s="1645"/>
      <c r="AH143" s="1645"/>
      <c r="AI143" s="1645"/>
      <c r="AJ143" s="1645"/>
      <c r="AK143" s="1645"/>
      <c r="AL143" s="1645"/>
      <c r="AM143" s="1645"/>
      <c r="AN143" s="1645"/>
      <c r="AO143" s="1645"/>
      <c r="AP143" s="1645"/>
      <c r="AQ143" s="1645"/>
      <c r="AR143" s="1645"/>
      <c r="AS143" s="1645"/>
      <c r="AT143" s="1645"/>
      <c r="AU143" s="1645"/>
      <c r="AV143" s="1645"/>
      <c r="AW143" s="1645"/>
      <c r="AX143" s="1645"/>
      <c r="AY143" s="1645"/>
      <c r="AZ143" s="1645"/>
      <c r="BA143" s="1645"/>
      <c r="BB143" s="1645"/>
      <c r="BC143" s="1645"/>
      <c r="BD143" s="1645"/>
      <c r="BE143" s="1645"/>
      <c r="BF143" s="1645"/>
      <c r="BG143" s="1645"/>
      <c r="BH143" s="1645"/>
      <c r="BI143" s="1645"/>
      <c r="BJ143" s="1645"/>
      <c r="BK143" s="1645"/>
      <c r="BL143" s="1645"/>
      <c r="BM143" s="1645"/>
      <c r="BN143" s="1645"/>
      <c r="BO143" s="1645"/>
      <c r="BP143" s="1645"/>
      <c r="BQ143" s="1645"/>
      <c r="BR143" s="1645"/>
      <c r="BS143" s="1645"/>
      <c r="BT143" s="1645"/>
      <c r="BU143" s="1645"/>
      <c r="BV143" s="1169"/>
      <c r="BW143" s="1169"/>
      <c r="BX143" s="1169"/>
      <c r="BY143" s="1169"/>
      <c r="BZ143" s="1169"/>
      <c r="CA143" s="1169"/>
      <c r="CB143" s="1169"/>
      <c r="CC143" s="1169"/>
      <c r="CD143" s="1169"/>
      <c r="CE143" s="1169"/>
      <c r="CF143" s="1859"/>
    </row>
    <row customHeight="1" ht="11.25" hidden="1">
      <c r="A144" s="1802"/>
      <c r="B144" s="1645"/>
      <c r="C144" s="1645"/>
      <c r="D144" s="2588"/>
      <c r="E144" s="644"/>
      <c r="F144" s="644">
        <v>0</v>
      </c>
      <c r="G144" s="644"/>
      <c r="H144" s="644"/>
      <c r="I144" s="644"/>
      <c r="J144" s="644"/>
      <c r="K144" s="644"/>
      <c r="L144" s="644"/>
      <c r="M144" s="644"/>
      <c r="N144" s="644"/>
      <c r="O144" s="644"/>
      <c r="P144" s="644"/>
      <c r="Q144" s="644"/>
      <c r="R144" s="644"/>
      <c r="S144" s="645"/>
      <c r="T144" s="727"/>
      <c r="U144" s="2383"/>
      <c r="V144" s="2383"/>
      <c r="W144" s="1645"/>
      <c r="X144" s="1645"/>
      <c r="Y144" s="1645"/>
      <c r="Z144" s="1645"/>
      <c r="AA144" s="1645"/>
      <c r="AB144" s="1169"/>
      <c r="AC144" s="2384"/>
      <c r="AD144" s="638"/>
      <c r="AE144" s="1169"/>
      <c r="AF144" s="1169"/>
      <c r="AG144" s="1645"/>
      <c r="AH144" s="1645"/>
      <c r="AI144" s="1645"/>
      <c r="AJ144" s="1645"/>
      <c r="AK144" s="1645"/>
      <c r="AL144" s="1645"/>
      <c r="AM144" s="1645"/>
      <c r="AN144" s="1645"/>
      <c r="AO144" s="1645"/>
      <c r="AP144" s="1645"/>
      <c r="AQ144" s="1645"/>
      <c r="AR144" s="1645"/>
      <c r="AS144" s="1645"/>
      <c r="AT144" s="1645"/>
      <c r="AU144" s="1645"/>
      <c r="AV144" s="1645"/>
      <c r="AW144" s="1645"/>
      <c r="AX144" s="1645"/>
      <c r="AY144" s="1645"/>
      <c r="AZ144" s="1645"/>
      <c r="BA144" s="1645"/>
      <c r="BB144" s="1645"/>
      <c r="BC144" s="1645"/>
      <c r="BD144" s="1645"/>
      <c r="BE144" s="1645"/>
      <c r="BF144" s="1645"/>
      <c r="BG144" s="1645"/>
      <c r="BH144" s="1645"/>
      <c r="BI144" s="1645"/>
      <c r="BJ144" s="1645"/>
      <c r="BK144" s="1645"/>
      <c r="BL144" s="1645"/>
      <c r="BM144" s="1645"/>
      <c r="BN144" s="1645"/>
      <c r="BO144" s="1645"/>
      <c r="BP144" s="1645"/>
      <c r="BQ144" s="1645"/>
      <c r="BR144" s="1645"/>
      <c r="BS144" s="1645"/>
      <c r="BT144" s="1645"/>
      <c r="BU144" s="1645"/>
      <c r="BV144" s="1645"/>
      <c r="BW144" s="1645"/>
      <c r="BX144" s="1645"/>
      <c r="BY144" s="1645"/>
      <c r="BZ144" s="1645"/>
      <c r="CA144" s="1645"/>
      <c r="CB144" s="1645"/>
      <c r="CC144" s="1645"/>
      <c r="CD144" s="1645"/>
      <c r="CE144" s="1645"/>
      <c r="CF144" s="1859"/>
    </row>
    <row customHeight="1" ht="11.25" hidden="1">
      <c r="A145" s="1815"/>
      <c r="B145" s="1169"/>
      <c r="C145" s="421"/>
      <c r="D145" s="2588"/>
      <c r="E145" s="658" t="s">
        <v>22</v>
      </c>
      <c r="F145" s="1177" t="s">
        <v>22</v>
      </c>
      <c r="G145" s="1177" t="s">
        <v>688</v>
      </c>
      <c r="H145" s="660" t="s">
        <v>22</v>
      </c>
      <c r="I145" s="660"/>
      <c r="J145" s="660"/>
      <c r="K145" s="660"/>
      <c r="L145" s="660"/>
      <c r="M145" s="660"/>
      <c r="N145" s="660"/>
      <c r="O145" s="660"/>
      <c r="P145" s="660"/>
      <c r="Q145" s="660"/>
      <c r="R145" s="661"/>
      <c r="S145" s="662"/>
      <c r="T145" s="727"/>
      <c r="U145" s="2383"/>
      <c r="V145" s="2383"/>
      <c r="W145" s="1169"/>
      <c r="X145" s="1169"/>
      <c r="Y145" s="1169"/>
      <c r="Z145" s="1169"/>
      <c r="AA145" s="1645"/>
      <c r="AB145" s="1169"/>
      <c r="AC145" s="2384"/>
      <c r="AD145" s="638"/>
      <c r="AE145" s="1169"/>
      <c r="AF145" s="1169"/>
      <c r="AG145" s="1645"/>
      <c r="AH145" s="1645"/>
      <c r="AI145" s="1645"/>
      <c r="AJ145" s="1645"/>
      <c r="AK145" s="1645"/>
      <c r="AL145" s="1645"/>
      <c r="AM145" s="1645"/>
      <c r="AN145" s="1645"/>
      <c r="AO145" s="1645"/>
      <c r="AP145" s="1645"/>
      <c r="AQ145" s="1645"/>
      <c r="AR145" s="1645"/>
      <c r="AS145" s="1645"/>
      <c r="AT145" s="1645"/>
      <c r="AU145" s="1645"/>
      <c r="AV145" s="1645"/>
      <c r="AW145" s="1645"/>
      <c r="AX145" s="1645"/>
      <c r="AY145" s="1645"/>
      <c r="AZ145" s="1645"/>
      <c r="BA145" s="1645"/>
      <c r="BB145" s="1645"/>
      <c r="BC145" s="1645"/>
      <c r="BD145" s="1645"/>
      <c r="BE145" s="1645"/>
      <c r="BF145" s="1645"/>
      <c r="BG145" s="1645"/>
      <c r="BH145" s="1645"/>
      <c r="BI145" s="1645"/>
      <c r="BJ145" s="1645"/>
      <c r="BK145" s="1645"/>
      <c r="BL145" s="1645"/>
      <c r="BM145" s="1645"/>
      <c r="BN145" s="1645"/>
      <c r="BO145" s="1645"/>
      <c r="BP145" s="1645"/>
      <c r="BQ145" s="1645"/>
      <c r="BR145" s="1645"/>
      <c r="BS145" s="1645"/>
      <c r="BT145" s="1645"/>
      <c r="BU145" s="1645"/>
      <c r="BV145" s="1169"/>
      <c r="BW145" s="1169"/>
      <c r="BX145" s="1169"/>
      <c r="BY145" s="1169"/>
      <c r="BZ145" s="1169"/>
      <c r="CA145" s="1169"/>
      <c r="CB145" s="1169"/>
      <c r="CC145" s="1169"/>
      <c r="CD145" s="1169"/>
      <c r="CE145" s="1169"/>
      <c r="CF145" s="1859"/>
    </row>
    <row customHeight="1" ht="5.25" hidden="1">
      <c r="A146" s="1802"/>
      <c r="B146" s="1645"/>
      <c r="C146" s="1645"/>
      <c r="D146" s="2588"/>
      <c r="E146" s="1048"/>
      <c r="F146" s="1048"/>
      <c r="G146" s="1048"/>
      <c r="H146" s="1048"/>
      <c r="I146" s="1048"/>
      <c r="J146" s="1048"/>
      <c r="K146" s="1048"/>
      <c r="L146" s="1048"/>
      <c r="M146" s="1048"/>
      <c r="N146" s="1048"/>
      <c r="O146" s="1048"/>
      <c r="P146" s="1048"/>
      <c r="Q146" s="1049"/>
      <c r="R146" s="1050"/>
      <c r="S146" s="1051"/>
      <c r="T146" s="726" t="s">
        <v>685</v>
      </c>
      <c r="U146" s="2383">
        <v>1</v>
      </c>
      <c r="V146" s="2383" t="s">
        <v>648</v>
      </c>
      <c r="W146" s="1645"/>
      <c r="X146" s="1645"/>
      <c r="Y146" s="1645"/>
      <c r="Z146" s="1645"/>
      <c r="AA146" s="1645"/>
      <c r="AB146" s="1645"/>
      <c r="AC146" s="1046"/>
      <c r="AD146" s="1047"/>
      <c r="AE146" s="1645"/>
      <c r="AF146" s="1645"/>
      <c r="AG146" s="1645"/>
      <c r="AH146" s="1645"/>
      <c r="AI146" s="1645"/>
      <c r="AJ146" s="1645"/>
      <c r="AK146" s="1645"/>
      <c r="AL146" s="1645"/>
      <c r="AM146" s="1645"/>
      <c r="AN146" s="1645"/>
      <c r="AO146" s="1645"/>
      <c r="AP146" s="1645"/>
      <c r="AQ146" s="1645"/>
      <c r="AR146" s="1645"/>
      <c r="AS146" s="1645"/>
      <c r="AT146" s="1645"/>
      <c r="AU146" s="1645"/>
      <c r="AV146" s="1645"/>
      <c r="AW146" s="1645"/>
      <c r="AX146" s="1645"/>
      <c r="AY146" s="1645"/>
      <c r="AZ146" s="1645"/>
      <c r="BA146" s="1645"/>
      <c r="BB146" s="1645"/>
      <c r="BC146" s="1645"/>
      <c r="BD146" s="1645"/>
      <c r="BE146" s="1645"/>
      <c r="BF146" s="1645"/>
      <c r="BG146" s="1645"/>
      <c r="BH146" s="1645"/>
      <c r="BI146" s="1645"/>
      <c r="BJ146" s="1645"/>
      <c r="BK146" s="1645"/>
      <c r="BL146" s="1645"/>
      <c r="BM146" s="1645"/>
      <c r="BN146" s="1645"/>
      <c r="BO146" s="1645"/>
      <c r="BP146" s="1645"/>
      <c r="BQ146" s="1645"/>
      <c r="BR146" s="1645"/>
      <c r="BS146" s="1645"/>
      <c r="BT146" s="1645"/>
      <c r="BU146" s="1645"/>
      <c r="BV146" s="1645"/>
      <c r="BW146" s="1645"/>
      <c r="BX146" s="1645"/>
      <c r="BY146" s="1645"/>
      <c r="BZ146" s="1645"/>
      <c r="CA146" s="1645"/>
      <c r="CB146" s="1645"/>
      <c r="CC146" s="1645"/>
      <c r="CD146" s="1645"/>
      <c r="CE146" s="1645"/>
      <c r="CF146" s="1325"/>
    </row>
    <row customHeight="1" ht="5.25" hidden="1">
      <c r="A147" s="1802"/>
      <c r="B147" s="1645"/>
      <c r="C147" s="1645"/>
      <c r="D147" s="2588"/>
      <c r="E147" s="644"/>
      <c r="F147" s="644"/>
      <c r="G147" s="644"/>
      <c r="H147" s="644"/>
      <c r="I147" s="644"/>
      <c r="J147" s="644"/>
      <c r="K147" s="644"/>
      <c r="L147" s="644"/>
      <c r="M147" s="644"/>
      <c r="N147" s="644"/>
      <c r="O147" s="644"/>
      <c r="P147" s="644"/>
      <c r="Q147" s="644"/>
      <c r="R147" s="644"/>
      <c r="S147" s="645"/>
      <c r="T147" s="727"/>
      <c r="U147" s="2383"/>
      <c r="V147" s="2383"/>
      <c r="W147" s="1645"/>
      <c r="X147" s="1645"/>
      <c r="Y147" s="1645"/>
      <c r="Z147" s="1645"/>
      <c r="AA147" s="1645"/>
      <c r="AB147" s="1645"/>
      <c r="AC147" s="1046"/>
      <c r="AD147" s="1047"/>
      <c r="AE147" s="1645"/>
      <c r="AF147" s="1645"/>
      <c r="AG147" s="1645"/>
      <c r="AH147" s="1645"/>
      <c r="AI147" s="1645"/>
      <c r="AJ147" s="1645"/>
      <c r="AK147" s="1645"/>
      <c r="AL147" s="1645"/>
      <c r="AM147" s="1645"/>
      <c r="AN147" s="1645"/>
      <c r="AO147" s="1645"/>
      <c r="AP147" s="1645"/>
      <c r="AQ147" s="1645"/>
      <c r="AR147" s="1645"/>
      <c r="AS147" s="1645"/>
      <c r="AT147" s="1645"/>
      <c r="AU147" s="1645"/>
      <c r="AV147" s="1645"/>
      <c r="AW147" s="1645"/>
      <c r="AX147" s="1645"/>
      <c r="AY147" s="1645"/>
      <c r="AZ147" s="1645"/>
      <c r="BA147" s="1645"/>
      <c r="BB147" s="1645"/>
      <c r="BC147" s="1645"/>
      <c r="BD147" s="1645"/>
      <c r="BE147" s="1645"/>
      <c r="BF147" s="1645"/>
      <c r="BG147" s="1645"/>
      <c r="BH147" s="1645"/>
      <c r="BI147" s="1645"/>
      <c r="BJ147" s="1645"/>
      <c r="BK147" s="1645"/>
      <c r="BL147" s="1645"/>
      <c r="BM147" s="1645"/>
      <c r="BN147" s="1645"/>
      <c r="BO147" s="1645"/>
      <c r="BP147" s="1645"/>
      <c r="BQ147" s="1645"/>
      <c r="BR147" s="1645"/>
      <c r="BS147" s="1645"/>
      <c r="BT147" s="1645"/>
      <c r="BU147" s="1645"/>
      <c r="BV147" s="1645"/>
      <c r="BW147" s="1645"/>
      <c r="BX147" s="1645"/>
      <c r="BY147" s="1645"/>
      <c r="BZ147" s="1645"/>
      <c r="CA147" s="1645"/>
      <c r="CB147" s="1645"/>
      <c r="CC147" s="1645"/>
      <c r="CD147" s="1645"/>
      <c r="CE147" s="1645"/>
      <c r="CF147" s="1325"/>
    </row>
    <row customHeight="1" ht="5.25" hidden="1">
      <c r="A148" s="1802"/>
      <c r="B148" s="1645"/>
      <c r="C148" s="1645"/>
      <c r="D148" s="2589"/>
      <c r="E148" s="1052"/>
      <c r="F148" s="1053"/>
      <c r="G148" s="1053"/>
      <c r="H148" s="1054"/>
      <c r="I148" s="1054"/>
      <c r="J148" s="1054"/>
      <c r="K148" s="1054"/>
      <c r="L148" s="1054"/>
      <c r="M148" s="1054"/>
      <c r="N148" s="1054"/>
      <c r="O148" s="1054"/>
      <c r="P148" s="1054"/>
      <c r="Q148" s="1054"/>
      <c r="R148" s="955"/>
      <c r="S148" s="1055"/>
      <c r="T148" s="727"/>
      <c r="U148" s="2383"/>
      <c r="V148" s="2383"/>
      <c r="W148" s="1645"/>
      <c r="X148" s="1645"/>
      <c r="Y148" s="1645"/>
      <c r="Z148" s="1645"/>
      <c r="AA148" s="1645"/>
      <c r="AB148" s="1645"/>
      <c r="AC148" s="1046"/>
      <c r="AD148" s="1047"/>
      <c r="AE148" s="1645"/>
      <c r="AF148" s="1645"/>
      <c r="AG148" s="1645"/>
      <c r="AH148" s="1645"/>
      <c r="AI148" s="1645"/>
      <c r="AJ148" s="1645"/>
      <c r="AK148" s="1645"/>
      <c r="AL148" s="1645"/>
      <c r="AM148" s="1645"/>
      <c r="AN148" s="1645"/>
      <c r="AO148" s="1645"/>
      <c r="AP148" s="1645"/>
      <c r="AQ148" s="1645"/>
      <c r="AR148" s="1645"/>
      <c r="AS148" s="1645"/>
      <c r="AT148" s="1645"/>
      <c r="AU148" s="1645"/>
      <c r="AV148" s="1645"/>
      <c r="AW148" s="1645"/>
      <c r="AX148" s="1645"/>
      <c r="AY148" s="1645"/>
      <c r="AZ148" s="1645"/>
      <c r="BA148" s="1645"/>
      <c r="BB148" s="1645"/>
      <c r="BC148" s="1645"/>
      <c r="BD148" s="1645"/>
      <c r="BE148" s="1645"/>
      <c r="BF148" s="1645"/>
      <c r="BG148" s="1645"/>
      <c r="BH148" s="1645"/>
      <c r="BI148" s="1645"/>
      <c r="BJ148" s="1645"/>
      <c r="BK148" s="1645"/>
      <c r="BL148" s="1645"/>
      <c r="BM148" s="1645"/>
      <c r="BN148" s="1645"/>
      <c r="BO148" s="1645"/>
      <c r="BP148" s="1645"/>
      <c r="BQ148" s="1645"/>
      <c r="BR148" s="1645"/>
      <c r="BS148" s="1645"/>
      <c r="BT148" s="1645"/>
      <c r="BU148" s="1645"/>
      <c r="BV148" s="1645"/>
      <c r="BW148" s="1645"/>
      <c r="BX148" s="1645"/>
      <c r="BY148" s="1645"/>
      <c r="BZ148" s="1645"/>
      <c r="CA148" s="1645"/>
      <c r="CB148" s="1645"/>
      <c r="CC148" s="1645"/>
      <c r="CD148" s="1645"/>
      <c r="CE148" s="1645"/>
      <c r="CF148" s="1325"/>
    </row>
    <row customHeight="1" ht="15" hidden="1">
      <c r="A149" s="632" t="s">
        <v>159</v>
      </c>
      <c r="B149" s="633"/>
      <c r="C149" s="633" t="s">
        <v>22</v>
      </c>
      <c r="D149" s="2587" t="s">
        <v>702</v>
      </c>
      <c r="E149" s="2386" t="s">
        <v>105</v>
      </c>
      <c r="F149" s="2387"/>
      <c r="G149" s="2388"/>
      <c r="H149" s="2392" t="str">
        <f>IF(A149="","",INDEX(DIFFERENTIATION_UNMERGE_VD,MATCH(A149,DIFFERENTIATION_ID_DIFF,0)))</f>
        <v>Производство тепловой энергии. Некомбинированная выработка</v>
      </c>
      <c r="I149" s="2392"/>
      <c r="J149" s="2392"/>
      <c r="K149" s="2392"/>
      <c r="L149" s="2392"/>
      <c r="M149" s="2392"/>
      <c r="N149" s="2392"/>
      <c r="O149" s="2392"/>
      <c r="P149" s="2392"/>
      <c r="Q149" s="2392"/>
      <c r="R149" s="2392"/>
      <c r="S149" s="728"/>
      <c r="T149" s="725"/>
      <c r="U149" s="634"/>
      <c r="V149" s="634"/>
      <c r="W149" s="635"/>
      <c r="X149" s="635"/>
      <c r="Y149" s="635"/>
      <c r="Z149" s="635"/>
      <c r="AA149" s="636"/>
      <c r="AB149" s="637"/>
      <c r="AC149" s="2384"/>
      <c r="AD149" s="638"/>
      <c r="AE149" s="639" t="s">
        <v>22</v>
      </c>
      <c r="AF149" s="639"/>
      <c r="AG149" s="640" t="s">
        <v>682</v>
      </c>
      <c r="AH149" s="641">
        <v>3</v>
      </c>
      <c r="AI149" s="634"/>
      <c r="AJ149" s="634"/>
      <c r="AK149" s="634"/>
      <c r="AL149" s="634"/>
      <c r="AM149" s="634"/>
      <c r="AN149" s="634"/>
      <c r="AO149" s="634"/>
      <c r="AP149" s="634"/>
      <c r="AQ149" s="634"/>
      <c r="AR149" s="634"/>
      <c r="AS149" s="634"/>
      <c r="AT149" s="634"/>
      <c r="AU149" s="634"/>
      <c r="AV149" s="634"/>
      <c r="AW149" s="634"/>
      <c r="AX149" s="634"/>
      <c r="AY149" s="634"/>
      <c r="AZ149" s="634"/>
      <c r="BA149" s="634"/>
      <c r="BB149" s="634"/>
      <c r="BC149" s="634"/>
      <c r="BD149" s="634"/>
      <c r="BE149" s="634"/>
      <c r="BF149" s="634"/>
      <c r="BG149" s="634"/>
      <c r="BH149" s="634"/>
      <c r="BI149" s="634"/>
      <c r="BJ149" s="634"/>
      <c r="BK149" s="634"/>
      <c r="BL149" s="634"/>
      <c r="BM149" s="634"/>
      <c r="BN149" s="634"/>
      <c r="BO149" s="634"/>
      <c r="BP149" s="634"/>
      <c r="BQ149" s="634"/>
      <c r="BR149" s="634"/>
      <c r="BS149" s="634"/>
      <c r="BT149" s="634"/>
      <c r="BU149" s="634"/>
      <c r="BV149" s="635"/>
      <c r="BW149" s="635"/>
      <c r="BX149" s="635"/>
      <c r="BY149" s="635"/>
      <c r="BZ149" s="635"/>
      <c r="CA149" s="635"/>
      <c r="CB149" s="635"/>
      <c r="CC149" s="635"/>
      <c r="CD149" s="635"/>
      <c r="CE149" s="635"/>
      <c r="CF149" s="1859"/>
    </row>
    <row customHeight="1" ht="15" hidden="1">
      <c r="A150" s="632"/>
      <c r="B150" s="633"/>
      <c r="C150" s="633"/>
      <c r="D150" s="2588"/>
      <c r="E150" s="2386" t="s">
        <v>637</v>
      </c>
      <c r="F150" s="2387"/>
      <c r="G150" s="2388"/>
      <c r="H150" s="2392" t="str">
        <f>IF(A149="","",INDEX(DIFFERENTIATION_UNMERGE_AREA,MATCH(A149,DIFFERENTIATION_ID_DIFF,0)))</f>
        <v>Территория 1</v>
      </c>
      <c r="I150" s="2392"/>
      <c r="J150" s="2392"/>
      <c r="K150" s="2392"/>
      <c r="L150" s="2392"/>
      <c r="M150" s="2392"/>
      <c r="N150" s="2392"/>
      <c r="O150" s="2392"/>
      <c r="P150" s="2392"/>
      <c r="Q150" s="2392"/>
      <c r="R150" s="2392"/>
      <c r="S150" s="728"/>
      <c r="T150" s="725"/>
      <c r="U150" s="634"/>
      <c r="V150" s="634"/>
      <c r="W150" s="635"/>
      <c r="X150" s="635"/>
      <c r="Y150" s="635"/>
      <c r="Z150" s="635"/>
      <c r="AA150" s="636"/>
      <c r="AB150" s="637"/>
      <c r="AC150" s="2384"/>
      <c r="AD150" s="638"/>
      <c r="AE150" s="639"/>
      <c r="AF150" s="639"/>
      <c r="AG150" s="640"/>
      <c r="AH150" s="641"/>
      <c r="AI150" s="634"/>
      <c r="AJ150" s="634"/>
      <c r="AK150" s="634"/>
      <c r="AL150" s="634"/>
      <c r="AM150" s="634"/>
      <c r="AN150" s="634"/>
      <c r="AO150" s="634"/>
      <c r="AP150" s="634"/>
      <c r="AQ150" s="634"/>
      <c r="AR150" s="634"/>
      <c r="AS150" s="634"/>
      <c r="AT150" s="634"/>
      <c r="AU150" s="634"/>
      <c r="AV150" s="634"/>
      <c r="AW150" s="634"/>
      <c r="AX150" s="634"/>
      <c r="AY150" s="634"/>
      <c r="AZ150" s="634"/>
      <c r="BA150" s="634"/>
      <c r="BB150" s="634"/>
      <c r="BC150" s="634"/>
      <c r="BD150" s="634"/>
      <c r="BE150" s="634"/>
      <c r="BF150" s="634"/>
      <c r="BG150" s="634"/>
      <c r="BH150" s="634"/>
      <c r="BI150" s="634"/>
      <c r="BJ150" s="634"/>
      <c r="BK150" s="634"/>
      <c r="BL150" s="634"/>
      <c r="BM150" s="634"/>
      <c r="BN150" s="634"/>
      <c r="BO150" s="634"/>
      <c r="BP150" s="634"/>
      <c r="BQ150" s="634"/>
      <c r="BR150" s="634"/>
      <c r="BS150" s="634"/>
      <c r="BT150" s="634"/>
      <c r="BU150" s="634"/>
      <c r="BV150" s="635"/>
      <c r="BW150" s="635"/>
      <c r="BX150" s="635"/>
      <c r="BY150" s="635"/>
      <c r="BZ150" s="635"/>
      <c r="CA150" s="635"/>
      <c r="CB150" s="635"/>
      <c r="CC150" s="635"/>
      <c r="CD150" s="635"/>
      <c r="CE150" s="635"/>
      <c r="CF150" s="1859"/>
    </row>
    <row customHeight="1" ht="15" hidden="1">
      <c r="A151" s="632"/>
      <c r="B151" s="633"/>
      <c r="C151" s="633"/>
      <c r="D151" s="2588"/>
      <c r="E151" s="2386" t="s">
        <v>638</v>
      </c>
      <c r="F151" s="2387"/>
      <c r="G151" s="2388"/>
      <c r="H151" s="2392" t="str">
        <f>IF(A149="","",INDEX(DIFFERENTIATION_UNMERGE_SYSTEM,MATCH(A149,DIFFERENTIATION_ID_DIFF,0)))</f>
        <v>ПНС№1-  Пролет, 5</v>
      </c>
      <c r="I151" s="2392"/>
      <c r="J151" s="2392"/>
      <c r="K151" s="2392"/>
      <c r="L151" s="2392"/>
      <c r="M151" s="2392"/>
      <c r="N151" s="2392"/>
      <c r="O151" s="2392"/>
      <c r="P151" s="2392"/>
      <c r="Q151" s="2392"/>
      <c r="R151" s="2392"/>
      <c r="S151" s="728"/>
      <c r="T151" s="725"/>
      <c r="U151" s="634"/>
      <c r="V151" s="634"/>
      <c r="W151" s="635"/>
      <c r="X151" s="635"/>
      <c r="Y151" s="635"/>
      <c r="Z151" s="635"/>
      <c r="AA151" s="636"/>
      <c r="AB151" s="637"/>
      <c r="AC151" s="2384"/>
      <c r="AD151" s="638"/>
      <c r="AE151" s="639"/>
      <c r="AF151" s="639"/>
      <c r="AG151" s="640"/>
      <c r="AH151" s="641"/>
      <c r="AI151" s="634"/>
      <c r="AJ151" s="634"/>
      <c r="AK151" s="634"/>
      <c r="AL151" s="634"/>
      <c r="AM151" s="634"/>
      <c r="AN151" s="634"/>
      <c r="AO151" s="634"/>
      <c r="AP151" s="634"/>
      <c r="AQ151" s="634"/>
      <c r="AR151" s="634"/>
      <c r="AS151" s="634"/>
      <c r="AT151" s="634"/>
      <c r="AU151" s="634"/>
      <c r="AV151" s="634"/>
      <c r="AW151" s="634"/>
      <c r="AX151" s="634"/>
      <c r="AY151" s="634"/>
      <c r="AZ151" s="634"/>
      <c r="BA151" s="634"/>
      <c r="BB151" s="634"/>
      <c r="BC151" s="634"/>
      <c r="BD151" s="634"/>
      <c r="BE151" s="634"/>
      <c r="BF151" s="634"/>
      <c r="BG151" s="634"/>
      <c r="BH151" s="634"/>
      <c r="BI151" s="634"/>
      <c r="BJ151" s="634"/>
      <c r="BK151" s="634"/>
      <c r="BL151" s="634"/>
      <c r="BM151" s="634"/>
      <c r="BN151" s="634"/>
      <c r="BO151" s="634"/>
      <c r="BP151" s="634"/>
      <c r="BQ151" s="634"/>
      <c r="BR151" s="634"/>
      <c r="BS151" s="634"/>
      <c r="BT151" s="634"/>
      <c r="BU151" s="634"/>
      <c r="BV151" s="635"/>
      <c r="BW151" s="635"/>
      <c r="BX151" s="635"/>
      <c r="BY151" s="635"/>
      <c r="BZ151" s="635"/>
      <c r="CA151" s="635"/>
      <c r="CB151" s="635"/>
      <c r="CC151" s="635"/>
      <c r="CD151" s="635"/>
      <c r="CE151" s="635"/>
      <c r="CF151" s="1859"/>
    </row>
    <row customHeight="1" ht="24.75" hidden="1">
      <c r="A152" s="1815"/>
      <c r="B152" s="1169"/>
      <c r="C152" s="421"/>
      <c r="D152" s="2588"/>
      <c r="E152" s="2385" t="s">
        <v>683</v>
      </c>
      <c r="F152" s="2385"/>
      <c r="G152" s="2385"/>
      <c r="H152" s="2385"/>
      <c r="I152" s="2385"/>
      <c r="J152" s="2385"/>
      <c r="K152" s="2385"/>
      <c r="L152" s="2385"/>
      <c r="M152" s="2385"/>
      <c r="N152" s="2385"/>
      <c r="O152" s="2385"/>
      <c r="P152" s="2385"/>
      <c r="Q152" s="567">
        <f>SUMIF(T153:T154,"i",Q153:Q154)</f>
        <v>0</v>
      </c>
      <c r="R152" s="1026"/>
      <c r="S152" s="1807" t="s">
        <v>684</v>
      </c>
      <c r="T152" s="726" t="s">
        <v>685</v>
      </c>
      <c r="U152" s="2383">
        <v>1</v>
      </c>
      <c r="V152" s="2383" t="s">
        <v>648</v>
      </c>
      <c r="W152" s="1169"/>
      <c r="X152" s="1169"/>
      <c r="Y152" s="1169"/>
      <c r="Z152" s="1169"/>
      <c r="AA152" s="1645"/>
      <c r="AB152" s="1169"/>
      <c r="AC152" s="2384"/>
      <c r="AD152" s="638"/>
      <c r="AE152" s="1169"/>
      <c r="AF152" s="1169"/>
      <c r="AG152" s="1645"/>
      <c r="AH152" s="1645"/>
      <c r="AI152" s="1645"/>
      <c r="AJ152" s="1645"/>
      <c r="AK152" s="1645"/>
      <c r="AL152" s="1645"/>
      <c r="AM152" s="1645"/>
      <c r="AN152" s="1645"/>
      <c r="AO152" s="1645"/>
      <c r="AP152" s="1645"/>
      <c r="AQ152" s="1645"/>
      <c r="AR152" s="1645"/>
      <c r="AS152" s="1645"/>
      <c r="AT152" s="1645"/>
      <c r="AU152" s="1645"/>
      <c r="AV152" s="1645"/>
      <c r="AW152" s="1645"/>
      <c r="AX152" s="1645"/>
      <c r="AY152" s="1645"/>
      <c r="AZ152" s="1645"/>
      <c r="BA152" s="1645"/>
      <c r="BB152" s="1645"/>
      <c r="BC152" s="1645"/>
      <c r="BD152" s="1645"/>
      <c r="BE152" s="1645"/>
      <c r="BF152" s="1645"/>
      <c r="BG152" s="1645"/>
      <c r="BH152" s="1645"/>
      <c r="BI152" s="1645"/>
      <c r="BJ152" s="1645"/>
      <c r="BK152" s="1645"/>
      <c r="BL152" s="1645"/>
      <c r="BM152" s="1645"/>
      <c r="BN152" s="1645"/>
      <c r="BO152" s="1645"/>
      <c r="BP152" s="1645"/>
      <c r="BQ152" s="1645"/>
      <c r="BR152" s="1645"/>
      <c r="BS152" s="1645"/>
      <c r="BT152" s="1645"/>
      <c r="BU152" s="1645"/>
      <c r="BV152" s="1169"/>
      <c r="BW152" s="1169"/>
      <c r="BX152" s="1169"/>
      <c r="BY152" s="1169"/>
      <c r="BZ152" s="1169"/>
      <c r="CA152" s="1169"/>
      <c r="CB152" s="1169"/>
      <c r="CC152" s="1169"/>
      <c r="CD152" s="1169"/>
      <c r="CE152" s="1169"/>
      <c r="CF152" s="1859"/>
    </row>
    <row customHeight="1" ht="11.25" hidden="1">
      <c r="A153" s="1802"/>
      <c r="B153" s="1645"/>
      <c r="C153" s="1645"/>
      <c r="D153" s="2588"/>
      <c r="E153" s="644"/>
      <c r="F153" s="644">
        <v>0</v>
      </c>
      <c r="G153" s="644"/>
      <c r="H153" s="644"/>
      <c r="I153" s="644"/>
      <c r="J153" s="644"/>
      <c r="K153" s="644"/>
      <c r="L153" s="644"/>
      <c r="M153" s="644"/>
      <c r="N153" s="644"/>
      <c r="O153" s="644"/>
      <c r="P153" s="644"/>
      <c r="Q153" s="644"/>
      <c r="R153" s="644"/>
      <c r="S153" s="645"/>
      <c r="T153" s="727"/>
      <c r="U153" s="2383"/>
      <c r="V153" s="2383"/>
      <c r="W153" s="1645"/>
      <c r="X153" s="1645"/>
      <c r="Y153" s="1645"/>
      <c r="Z153" s="1645"/>
      <c r="AA153" s="1645"/>
      <c r="AB153" s="1169"/>
      <c r="AC153" s="2384"/>
      <c r="AD153" s="638"/>
      <c r="AE153" s="1169"/>
      <c r="AF153" s="1169"/>
      <c r="AG153" s="1645"/>
      <c r="AH153" s="1645"/>
      <c r="AI153" s="1645"/>
      <c r="AJ153" s="1645"/>
      <c r="AK153" s="1645"/>
      <c r="AL153" s="1645"/>
      <c r="AM153" s="1645"/>
      <c r="AN153" s="1645"/>
      <c r="AO153" s="1645"/>
      <c r="AP153" s="1645"/>
      <c r="AQ153" s="1645"/>
      <c r="AR153" s="1645"/>
      <c r="AS153" s="1645"/>
      <c r="AT153" s="1645"/>
      <c r="AU153" s="1645"/>
      <c r="AV153" s="1645"/>
      <c r="AW153" s="1645"/>
      <c r="AX153" s="1645"/>
      <c r="AY153" s="1645"/>
      <c r="AZ153" s="1645"/>
      <c r="BA153" s="1645"/>
      <c r="BB153" s="1645"/>
      <c r="BC153" s="1645"/>
      <c r="BD153" s="1645"/>
      <c r="BE153" s="1645"/>
      <c r="BF153" s="1645"/>
      <c r="BG153" s="1645"/>
      <c r="BH153" s="1645"/>
      <c r="BI153" s="1645"/>
      <c r="BJ153" s="1645"/>
      <c r="BK153" s="1645"/>
      <c r="BL153" s="1645"/>
      <c r="BM153" s="1645"/>
      <c r="BN153" s="1645"/>
      <c r="BO153" s="1645"/>
      <c r="BP153" s="1645"/>
      <c r="BQ153" s="1645"/>
      <c r="BR153" s="1645"/>
      <c r="BS153" s="1645"/>
      <c r="BT153" s="1645"/>
      <c r="BU153" s="1645"/>
      <c r="BV153" s="1645"/>
      <c r="BW153" s="1645"/>
      <c r="BX153" s="1645"/>
      <c r="BY153" s="1645"/>
      <c r="BZ153" s="1645"/>
      <c r="CA153" s="1645"/>
      <c r="CB153" s="1645"/>
      <c r="CC153" s="1645"/>
      <c r="CD153" s="1645"/>
      <c r="CE153" s="1645"/>
      <c r="CF153" s="1859"/>
    </row>
    <row customHeight="1" ht="11.25" hidden="1">
      <c r="A154" s="1815"/>
      <c r="B154" s="1169"/>
      <c r="C154" s="421"/>
      <c r="D154" s="2588"/>
      <c r="E154" s="658" t="s">
        <v>22</v>
      </c>
      <c r="F154" s="1177" t="s">
        <v>22</v>
      </c>
      <c r="G154" s="1177" t="s">
        <v>688</v>
      </c>
      <c r="H154" s="660" t="s">
        <v>22</v>
      </c>
      <c r="I154" s="660"/>
      <c r="J154" s="660"/>
      <c r="K154" s="660"/>
      <c r="L154" s="660"/>
      <c r="M154" s="660"/>
      <c r="N154" s="660"/>
      <c r="O154" s="660"/>
      <c r="P154" s="660"/>
      <c r="Q154" s="660"/>
      <c r="R154" s="661"/>
      <c r="S154" s="662"/>
      <c r="T154" s="727"/>
      <c r="U154" s="2383"/>
      <c r="V154" s="2383"/>
      <c r="W154" s="1169"/>
      <c r="X154" s="1169"/>
      <c r="Y154" s="1169"/>
      <c r="Z154" s="1169"/>
      <c r="AA154" s="1645"/>
      <c r="AB154" s="1169"/>
      <c r="AC154" s="2384"/>
      <c r="AD154" s="638"/>
      <c r="AE154" s="1169"/>
      <c r="AF154" s="1169"/>
      <c r="AG154" s="1645"/>
      <c r="AH154" s="1645"/>
      <c r="AI154" s="1645"/>
      <c r="AJ154" s="1645"/>
      <c r="AK154" s="1645"/>
      <c r="AL154" s="1645"/>
      <c r="AM154" s="1645"/>
      <c r="AN154" s="1645"/>
      <c r="AO154" s="1645"/>
      <c r="AP154" s="1645"/>
      <c r="AQ154" s="1645"/>
      <c r="AR154" s="1645"/>
      <c r="AS154" s="1645"/>
      <c r="AT154" s="1645"/>
      <c r="AU154" s="1645"/>
      <c r="AV154" s="1645"/>
      <c r="AW154" s="1645"/>
      <c r="AX154" s="1645"/>
      <c r="AY154" s="1645"/>
      <c r="AZ154" s="1645"/>
      <c r="BA154" s="1645"/>
      <c r="BB154" s="1645"/>
      <c r="BC154" s="1645"/>
      <c r="BD154" s="1645"/>
      <c r="BE154" s="1645"/>
      <c r="BF154" s="1645"/>
      <c r="BG154" s="1645"/>
      <c r="BH154" s="1645"/>
      <c r="BI154" s="1645"/>
      <c r="BJ154" s="1645"/>
      <c r="BK154" s="1645"/>
      <c r="BL154" s="1645"/>
      <c r="BM154" s="1645"/>
      <c r="BN154" s="1645"/>
      <c r="BO154" s="1645"/>
      <c r="BP154" s="1645"/>
      <c r="BQ154" s="1645"/>
      <c r="BR154" s="1645"/>
      <c r="BS154" s="1645"/>
      <c r="BT154" s="1645"/>
      <c r="BU154" s="1645"/>
      <c r="BV154" s="1169"/>
      <c r="BW154" s="1169"/>
      <c r="BX154" s="1169"/>
      <c r="BY154" s="1169"/>
      <c r="BZ154" s="1169"/>
      <c r="CA154" s="1169"/>
      <c r="CB154" s="1169"/>
      <c r="CC154" s="1169"/>
      <c r="CD154" s="1169"/>
      <c r="CE154" s="1169"/>
      <c r="CF154" s="1859"/>
    </row>
    <row customHeight="1" ht="5.25" hidden="1">
      <c r="A155" s="1802"/>
      <c r="B155" s="1645"/>
      <c r="C155" s="1645"/>
      <c r="D155" s="2588"/>
      <c r="E155" s="1048"/>
      <c r="F155" s="1048"/>
      <c r="G155" s="1048"/>
      <c r="H155" s="1048"/>
      <c r="I155" s="1048"/>
      <c r="J155" s="1048"/>
      <c r="K155" s="1048"/>
      <c r="L155" s="1048"/>
      <c r="M155" s="1048"/>
      <c r="N155" s="1048"/>
      <c r="O155" s="1048"/>
      <c r="P155" s="1048"/>
      <c r="Q155" s="1049"/>
      <c r="R155" s="1050"/>
      <c r="S155" s="1051"/>
      <c r="T155" s="726" t="s">
        <v>685</v>
      </c>
      <c r="U155" s="2383">
        <v>1</v>
      </c>
      <c r="V155" s="2383" t="s">
        <v>648</v>
      </c>
      <c r="W155" s="1645"/>
      <c r="X155" s="1645"/>
      <c r="Y155" s="1645"/>
      <c r="Z155" s="1645"/>
      <c r="AA155" s="1645"/>
      <c r="AB155" s="1645"/>
      <c r="AC155" s="1046"/>
      <c r="AD155" s="1047"/>
      <c r="AE155" s="1645"/>
      <c r="AF155" s="1645"/>
      <c r="AG155" s="1645"/>
      <c r="AH155" s="1645"/>
      <c r="AI155" s="1645"/>
      <c r="AJ155" s="1645"/>
      <c r="AK155" s="1645"/>
      <c r="AL155" s="1645"/>
      <c r="AM155" s="1645"/>
      <c r="AN155" s="1645"/>
      <c r="AO155" s="1645"/>
      <c r="AP155" s="1645"/>
      <c r="AQ155" s="1645"/>
      <c r="AR155" s="1645"/>
      <c r="AS155" s="1645"/>
      <c r="AT155" s="1645"/>
      <c r="AU155" s="1645"/>
      <c r="AV155" s="1645"/>
      <c r="AW155" s="1645"/>
      <c r="AX155" s="1645"/>
      <c r="AY155" s="1645"/>
      <c r="AZ155" s="1645"/>
      <c r="BA155" s="1645"/>
      <c r="BB155" s="1645"/>
      <c r="BC155" s="1645"/>
      <c r="BD155" s="1645"/>
      <c r="BE155" s="1645"/>
      <c r="BF155" s="1645"/>
      <c r="BG155" s="1645"/>
      <c r="BH155" s="1645"/>
      <c r="BI155" s="1645"/>
      <c r="BJ155" s="1645"/>
      <c r="BK155" s="1645"/>
      <c r="BL155" s="1645"/>
      <c r="BM155" s="1645"/>
      <c r="BN155" s="1645"/>
      <c r="BO155" s="1645"/>
      <c r="BP155" s="1645"/>
      <c r="BQ155" s="1645"/>
      <c r="BR155" s="1645"/>
      <c r="BS155" s="1645"/>
      <c r="BT155" s="1645"/>
      <c r="BU155" s="1645"/>
      <c r="BV155" s="1645"/>
      <c r="BW155" s="1645"/>
      <c r="BX155" s="1645"/>
      <c r="BY155" s="1645"/>
      <c r="BZ155" s="1645"/>
      <c r="CA155" s="1645"/>
      <c r="CB155" s="1645"/>
      <c r="CC155" s="1645"/>
      <c r="CD155" s="1645"/>
      <c r="CE155" s="1645"/>
      <c r="CF155" s="1325"/>
    </row>
    <row customHeight="1" ht="5.25" hidden="1">
      <c r="A156" s="1802"/>
      <c r="B156" s="1645"/>
      <c r="C156" s="1645"/>
      <c r="D156" s="2588"/>
      <c r="E156" s="644"/>
      <c r="F156" s="644"/>
      <c r="G156" s="644"/>
      <c r="H156" s="644"/>
      <c r="I156" s="644"/>
      <c r="J156" s="644"/>
      <c r="K156" s="644"/>
      <c r="L156" s="644"/>
      <c r="M156" s="644"/>
      <c r="N156" s="644"/>
      <c r="O156" s="644"/>
      <c r="P156" s="644"/>
      <c r="Q156" s="644"/>
      <c r="R156" s="644"/>
      <c r="S156" s="645"/>
      <c r="T156" s="727"/>
      <c r="U156" s="2383"/>
      <c r="V156" s="2383"/>
      <c r="W156" s="1645"/>
      <c r="X156" s="1645"/>
      <c r="Y156" s="1645"/>
      <c r="Z156" s="1645"/>
      <c r="AA156" s="1645"/>
      <c r="AB156" s="1645"/>
      <c r="AC156" s="1046"/>
      <c r="AD156" s="1047"/>
      <c r="AE156" s="1645"/>
      <c r="AF156" s="1645"/>
      <c r="AG156" s="1645"/>
      <c r="AH156" s="1645"/>
      <c r="AI156" s="1645"/>
      <c r="AJ156" s="1645"/>
      <c r="AK156" s="1645"/>
      <c r="AL156" s="1645"/>
      <c r="AM156" s="1645"/>
      <c r="AN156" s="1645"/>
      <c r="AO156" s="1645"/>
      <c r="AP156" s="1645"/>
      <c r="AQ156" s="1645"/>
      <c r="AR156" s="1645"/>
      <c r="AS156" s="1645"/>
      <c r="AT156" s="1645"/>
      <c r="AU156" s="1645"/>
      <c r="AV156" s="1645"/>
      <c r="AW156" s="1645"/>
      <c r="AX156" s="1645"/>
      <c r="AY156" s="1645"/>
      <c r="AZ156" s="1645"/>
      <c r="BA156" s="1645"/>
      <c r="BB156" s="1645"/>
      <c r="BC156" s="1645"/>
      <c r="BD156" s="1645"/>
      <c r="BE156" s="1645"/>
      <c r="BF156" s="1645"/>
      <c r="BG156" s="1645"/>
      <c r="BH156" s="1645"/>
      <c r="BI156" s="1645"/>
      <c r="BJ156" s="1645"/>
      <c r="BK156" s="1645"/>
      <c r="BL156" s="1645"/>
      <c r="BM156" s="1645"/>
      <c r="BN156" s="1645"/>
      <c r="BO156" s="1645"/>
      <c r="BP156" s="1645"/>
      <c r="BQ156" s="1645"/>
      <c r="BR156" s="1645"/>
      <c r="BS156" s="1645"/>
      <c r="BT156" s="1645"/>
      <c r="BU156" s="1645"/>
      <c r="BV156" s="1645"/>
      <c r="BW156" s="1645"/>
      <c r="BX156" s="1645"/>
      <c r="BY156" s="1645"/>
      <c r="BZ156" s="1645"/>
      <c r="CA156" s="1645"/>
      <c r="CB156" s="1645"/>
      <c r="CC156" s="1645"/>
      <c r="CD156" s="1645"/>
      <c r="CE156" s="1645"/>
      <c r="CF156" s="1325"/>
    </row>
    <row customHeight="1" ht="5.25" hidden="1">
      <c r="A157" s="1802"/>
      <c r="B157" s="1645"/>
      <c r="C157" s="1645"/>
      <c r="D157" s="2589"/>
      <c r="E157" s="1052"/>
      <c r="F157" s="1053"/>
      <c r="G157" s="1053"/>
      <c r="H157" s="1054"/>
      <c r="I157" s="1054"/>
      <c r="J157" s="1054"/>
      <c r="K157" s="1054"/>
      <c r="L157" s="1054"/>
      <c r="M157" s="1054"/>
      <c r="N157" s="1054"/>
      <c r="O157" s="1054"/>
      <c r="P157" s="1054"/>
      <c r="Q157" s="1054"/>
      <c r="R157" s="955"/>
      <c r="S157" s="1055"/>
      <c r="T157" s="727"/>
      <c r="U157" s="2383"/>
      <c r="V157" s="2383"/>
      <c r="W157" s="1645"/>
      <c r="X157" s="1645"/>
      <c r="Y157" s="1645"/>
      <c r="Z157" s="1645"/>
      <c r="AA157" s="1645"/>
      <c r="AB157" s="1645"/>
      <c r="AC157" s="1046"/>
      <c r="AD157" s="1047"/>
      <c r="AE157" s="1645"/>
      <c r="AF157" s="1645"/>
      <c r="AG157" s="1645"/>
      <c r="AH157" s="1645"/>
      <c r="AI157" s="1645"/>
      <c r="AJ157" s="1645"/>
      <c r="AK157" s="1645"/>
      <c r="AL157" s="1645"/>
      <c r="AM157" s="1645"/>
      <c r="AN157" s="1645"/>
      <c r="AO157" s="1645"/>
      <c r="AP157" s="1645"/>
      <c r="AQ157" s="1645"/>
      <c r="AR157" s="1645"/>
      <c r="AS157" s="1645"/>
      <c r="AT157" s="1645"/>
      <c r="AU157" s="1645"/>
      <c r="AV157" s="1645"/>
      <c r="AW157" s="1645"/>
      <c r="AX157" s="1645"/>
      <c r="AY157" s="1645"/>
      <c r="AZ157" s="1645"/>
      <c r="BA157" s="1645"/>
      <c r="BB157" s="1645"/>
      <c r="BC157" s="1645"/>
      <c r="BD157" s="1645"/>
      <c r="BE157" s="1645"/>
      <c r="BF157" s="1645"/>
      <c r="BG157" s="1645"/>
      <c r="BH157" s="1645"/>
      <c r="BI157" s="1645"/>
      <c r="BJ157" s="1645"/>
      <c r="BK157" s="1645"/>
      <c r="BL157" s="1645"/>
      <c r="BM157" s="1645"/>
      <c r="BN157" s="1645"/>
      <c r="BO157" s="1645"/>
      <c r="BP157" s="1645"/>
      <c r="BQ157" s="1645"/>
      <c r="BR157" s="1645"/>
      <c r="BS157" s="1645"/>
      <c r="BT157" s="1645"/>
      <c r="BU157" s="1645"/>
      <c r="BV157" s="1645"/>
      <c r="BW157" s="1645"/>
      <c r="BX157" s="1645"/>
      <c r="BY157" s="1645"/>
      <c r="BZ157" s="1645"/>
      <c r="CA157" s="1645"/>
      <c r="CB157" s="1645"/>
      <c r="CC157" s="1645"/>
      <c r="CD157" s="1645"/>
      <c r="CE157" s="1645"/>
      <c r="CF157" s="1325"/>
    </row>
    <row customHeight="1" ht="15" hidden="1">
      <c r="A158" s="632" t="s">
        <v>162</v>
      </c>
      <c r="B158" s="633"/>
      <c r="C158" s="633" t="s">
        <v>22</v>
      </c>
      <c r="D158" s="2587" t="s">
        <v>703</v>
      </c>
      <c r="E158" s="2386" t="s">
        <v>105</v>
      </c>
      <c r="F158" s="2387"/>
      <c r="G158" s="2388"/>
      <c r="H158" s="2392" t="str">
        <f>IF(A158="","",INDEX(DIFFERENTIATION_UNMERGE_VD,MATCH(A158,DIFFERENTIATION_ID_DIFF,0)))</f>
        <v>Производство тепловой энергии. Некомбинированная выработка</v>
      </c>
      <c r="I158" s="2392"/>
      <c r="J158" s="2392"/>
      <c r="K158" s="2392"/>
      <c r="L158" s="2392"/>
      <c r="M158" s="2392"/>
      <c r="N158" s="2392"/>
      <c r="O158" s="2392"/>
      <c r="P158" s="2392"/>
      <c r="Q158" s="2392"/>
      <c r="R158" s="2392"/>
      <c r="S158" s="728"/>
      <c r="T158" s="725"/>
      <c r="U158" s="634"/>
      <c r="V158" s="634"/>
      <c r="W158" s="635"/>
      <c r="X158" s="635"/>
      <c r="Y158" s="635"/>
      <c r="Z158" s="635"/>
      <c r="AA158" s="636"/>
      <c r="AB158" s="637"/>
      <c r="AC158" s="2384"/>
      <c r="AD158" s="638"/>
      <c r="AE158" s="639" t="s">
        <v>22</v>
      </c>
      <c r="AF158" s="639"/>
      <c r="AG158" s="640" t="s">
        <v>682</v>
      </c>
      <c r="AH158" s="641">
        <v>3</v>
      </c>
      <c r="AI158" s="634"/>
      <c r="AJ158" s="634"/>
      <c r="AK158" s="634"/>
      <c r="AL158" s="634"/>
      <c r="AM158" s="634"/>
      <c r="AN158" s="634"/>
      <c r="AO158" s="634"/>
      <c r="AP158" s="634"/>
      <c r="AQ158" s="634"/>
      <c r="AR158" s="634"/>
      <c r="AS158" s="634"/>
      <c r="AT158" s="634"/>
      <c r="AU158" s="634"/>
      <c r="AV158" s="634"/>
      <c r="AW158" s="634"/>
      <c r="AX158" s="634"/>
      <c r="AY158" s="634"/>
      <c r="AZ158" s="634"/>
      <c r="BA158" s="634"/>
      <c r="BB158" s="634"/>
      <c r="BC158" s="634"/>
      <c r="BD158" s="634"/>
      <c r="BE158" s="634"/>
      <c r="BF158" s="634"/>
      <c r="BG158" s="634"/>
      <c r="BH158" s="634"/>
      <c r="BI158" s="634"/>
      <c r="BJ158" s="634"/>
      <c r="BK158" s="634"/>
      <c r="BL158" s="634"/>
      <c r="BM158" s="634"/>
      <c r="BN158" s="634"/>
      <c r="BO158" s="634"/>
      <c r="BP158" s="634"/>
      <c r="BQ158" s="634"/>
      <c r="BR158" s="634"/>
      <c r="BS158" s="634"/>
      <c r="BT158" s="634"/>
      <c r="BU158" s="634"/>
      <c r="BV158" s="635"/>
      <c r="BW158" s="635"/>
      <c r="BX158" s="635"/>
      <c r="BY158" s="635"/>
      <c r="BZ158" s="635"/>
      <c r="CA158" s="635"/>
      <c r="CB158" s="635"/>
      <c r="CC158" s="635"/>
      <c r="CD158" s="635"/>
      <c r="CE158" s="635"/>
      <c r="CF158" s="1859"/>
    </row>
    <row customHeight="1" ht="15" hidden="1">
      <c r="A159" s="632"/>
      <c r="B159" s="633"/>
      <c r="C159" s="633"/>
      <c r="D159" s="2588"/>
      <c r="E159" s="2386" t="s">
        <v>637</v>
      </c>
      <c r="F159" s="2387"/>
      <c r="G159" s="2388"/>
      <c r="H159" s="2392" t="str">
        <f>IF(A158="","",INDEX(DIFFERENTIATION_UNMERGE_AREA,MATCH(A158,DIFFERENTIATION_ID_DIFF,0)))</f>
        <v>Территория 1</v>
      </c>
      <c r="I159" s="2392"/>
      <c r="J159" s="2392"/>
      <c r="K159" s="2392"/>
      <c r="L159" s="2392"/>
      <c r="M159" s="2392"/>
      <c r="N159" s="2392"/>
      <c r="O159" s="2392"/>
      <c r="P159" s="2392"/>
      <c r="Q159" s="2392"/>
      <c r="R159" s="2392"/>
      <c r="S159" s="728"/>
      <c r="T159" s="725"/>
      <c r="U159" s="634"/>
      <c r="V159" s="634"/>
      <c r="W159" s="635"/>
      <c r="X159" s="635"/>
      <c r="Y159" s="635"/>
      <c r="Z159" s="635"/>
      <c r="AA159" s="636"/>
      <c r="AB159" s="637"/>
      <c r="AC159" s="2384"/>
      <c r="AD159" s="638"/>
      <c r="AE159" s="639"/>
      <c r="AF159" s="639"/>
      <c r="AG159" s="640"/>
      <c r="AH159" s="641"/>
      <c r="AI159" s="634"/>
      <c r="AJ159" s="634"/>
      <c r="AK159" s="634"/>
      <c r="AL159" s="634"/>
      <c r="AM159" s="634"/>
      <c r="AN159" s="634"/>
      <c r="AO159" s="634"/>
      <c r="AP159" s="634"/>
      <c r="AQ159" s="634"/>
      <c r="AR159" s="634"/>
      <c r="AS159" s="634"/>
      <c r="AT159" s="634"/>
      <c r="AU159" s="634"/>
      <c r="AV159" s="634"/>
      <c r="AW159" s="634"/>
      <c r="AX159" s="634"/>
      <c r="AY159" s="634"/>
      <c r="AZ159" s="634"/>
      <c r="BA159" s="634"/>
      <c r="BB159" s="634"/>
      <c r="BC159" s="634"/>
      <c r="BD159" s="634"/>
      <c r="BE159" s="634"/>
      <c r="BF159" s="634"/>
      <c r="BG159" s="634"/>
      <c r="BH159" s="634"/>
      <c r="BI159" s="634"/>
      <c r="BJ159" s="634"/>
      <c r="BK159" s="634"/>
      <c r="BL159" s="634"/>
      <c r="BM159" s="634"/>
      <c r="BN159" s="634"/>
      <c r="BO159" s="634"/>
      <c r="BP159" s="634"/>
      <c r="BQ159" s="634"/>
      <c r="BR159" s="634"/>
      <c r="BS159" s="634"/>
      <c r="BT159" s="634"/>
      <c r="BU159" s="634"/>
      <c r="BV159" s="635"/>
      <c r="BW159" s="635"/>
      <c r="BX159" s="635"/>
      <c r="BY159" s="635"/>
      <c r="BZ159" s="635"/>
      <c r="CA159" s="635"/>
      <c r="CB159" s="635"/>
      <c r="CC159" s="635"/>
      <c r="CD159" s="635"/>
      <c r="CE159" s="635"/>
      <c r="CF159" s="1859"/>
    </row>
    <row customHeight="1" ht="15" hidden="1">
      <c r="A160" s="632"/>
      <c r="B160" s="633"/>
      <c r="C160" s="633"/>
      <c r="D160" s="2588"/>
      <c r="E160" s="2386" t="s">
        <v>638</v>
      </c>
      <c r="F160" s="2387"/>
      <c r="G160" s="2388"/>
      <c r="H160" s="2392" t="str">
        <f>IF(A158="","",INDEX(DIFFERENTIATION_UNMERGE_SYSTEM,MATCH(A158,DIFFERENTIATION_ID_DIFF,0)))</f>
        <v>ПНС№2, ул.Репина,3</v>
      </c>
      <c r="I160" s="2392"/>
      <c r="J160" s="2392"/>
      <c r="K160" s="2392"/>
      <c r="L160" s="2392"/>
      <c r="M160" s="2392"/>
      <c r="N160" s="2392"/>
      <c r="O160" s="2392"/>
      <c r="P160" s="2392"/>
      <c r="Q160" s="2392"/>
      <c r="R160" s="2392"/>
      <c r="S160" s="728"/>
      <c r="T160" s="725"/>
      <c r="U160" s="634"/>
      <c r="V160" s="634"/>
      <c r="W160" s="635"/>
      <c r="X160" s="635"/>
      <c r="Y160" s="635"/>
      <c r="Z160" s="635"/>
      <c r="AA160" s="636"/>
      <c r="AB160" s="637"/>
      <c r="AC160" s="2384"/>
      <c r="AD160" s="638"/>
      <c r="AE160" s="639"/>
      <c r="AF160" s="639"/>
      <c r="AG160" s="640"/>
      <c r="AH160" s="641"/>
      <c r="AI160" s="634"/>
      <c r="AJ160" s="634"/>
      <c r="AK160" s="634"/>
      <c r="AL160" s="634"/>
      <c r="AM160" s="634"/>
      <c r="AN160" s="634"/>
      <c r="AO160" s="634"/>
      <c r="AP160" s="634"/>
      <c r="AQ160" s="634"/>
      <c r="AR160" s="634"/>
      <c r="AS160" s="634"/>
      <c r="AT160" s="634"/>
      <c r="AU160" s="634"/>
      <c r="AV160" s="634"/>
      <c r="AW160" s="634"/>
      <c r="AX160" s="634"/>
      <c r="AY160" s="634"/>
      <c r="AZ160" s="634"/>
      <c r="BA160" s="634"/>
      <c r="BB160" s="634"/>
      <c r="BC160" s="634"/>
      <c r="BD160" s="634"/>
      <c r="BE160" s="634"/>
      <c r="BF160" s="634"/>
      <c r="BG160" s="634"/>
      <c r="BH160" s="634"/>
      <c r="BI160" s="634"/>
      <c r="BJ160" s="634"/>
      <c r="BK160" s="634"/>
      <c r="BL160" s="634"/>
      <c r="BM160" s="634"/>
      <c r="BN160" s="634"/>
      <c r="BO160" s="634"/>
      <c r="BP160" s="634"/>
      <c r="BQ160" s="634"/>
      <c r="BR160" s="634"/>
      <c r="BS160" s="634"/>
      <c r="BT160" s="634"/>
      <c r="BU160" s="634"/>
      <c r="BV160" s="635"/>
      <c r="BW160" s="635"/>
      <c r="BX160" s="635"/>
      <c r="BY160" s="635"/>
      <c r="BZ160" s="635"/>
      <c r="CA160" s="635"/>
      <c r="CB160" s="635"/>
      <c r="CC160" s="635"/>
      <c r="CD160" s="635"/>
      <c r="CE160" s="635"/>
      <c r="CF160" s="1859"/>
    </row>
    <row customHeight="1" ht="24.75" hidden="1">
      <c r="A161" s="1815"/>
      <c r="B161" s="1169"/>
      <c r="C161" s="421"/>
      <c r="D161" s="2588"/>
      <c r="E161" s="2385" t="s">
        <v>683</v>
      </c>
      <c r="F161" s="2385"/>
      <c r="G161" s="2385"/>
      <c r="H161" s="2385"/>
      <c r="I161" s="2385"/>
      <c r="J161" s="2385"/>
      <c r="K161" s="2385"/>
      <c r="L161" s="2385"/>
      <c r="M161" s="2385"/>
      <c r="N161" s="2385"/>
      <c r="O161" s="2385"/>
      <c r="P161" s="2385"/>
      <c r="Q161" s="567">
        <f>SUMIF(T162:T163,"i",Q162:Q163)</f>
        <v>0</v>
      </c>
      <c r="R161" s="1026"/>
      <c r="S161" s="1807" t="s">
        <v>684</v>
      </c>
      <c r="T161" s="726" t="s">
        <v>685</v>
      </c>
      <c r="U161" s="2383">
        <v>1</v>
      </c>
      <c r="V161" s="2383" t="s">
        <v>648</v>
      </c>
      <c r="W161" s="1169"/>
      <c r="X161" s="1169"/>
      <c r="Y161" s="1169"/>
      <c r="Z161" s="1169"/>
      <c r="AA161" s="1645"/>
      <c r="AB161" s="1169"/>
      <c r="AC161" s="2384"/>
      <c r="AD161" s="638"/>
      <c r="AE161" s="1169"/>
      <c r="AF161" s="1169"/>
      <c r="AG161" s="1645"/>
      <c r="AH161" s="1645"/>
      <c r="AI161" s="1645"/>
      <c r="AJ161" s="1645"/>
      <c r="AK161" s="1645"/>
      <c r="AL161" s="1645"/>
      <c r="AM161" s="1645"/>
      <c r="AN161" s="1645"/>
      <c r="AO161" s="1645"/>
      <c r="AP161" s="1645"/>
      <c r="AQ161" s="1645"/>
      <c r="AR161" s="1645"/>
      <c r="AS161" s="1645"/>
      <c r="AT161" s="1645"/>
      <c r="AU161" s="1645"/>
      <c r="AV161" s="1645"/>
      <c r="AW161" s="1645"/>
      <c r="AX161" s="1645"/>
      <c r="AY161" s="1645"/>
      <c r="AZ161" s="1645"/>
      <c r="BA161" s="1645"/>
      <c r="BB161" s="1645"/>
      <c r="BC161" s="1645"/>
      <c r="BD161" s="1645"/>
      <c r="BE161" s="1645"/>
      <c r="BF161" s="1645"/>
      <c r="BG161" s="1645"/>
      <c r="BH161" s="1645"/>
      <c r="BI161" s="1645"/>
      <c r="BJ161" s="1645"/>
      <c r="BK161" s="1645"/>
      <c r="BL161" s="1645"/>
      <c r="BM161" s="1645"/>
      <c r="BN161" s="1645"/>
      <c r="BO161" s="1645"/>
      <c r="BP161" s="1645"/>
      <c r="BQ161" s="1645"/>
      <c r="BR161" s="1645"/>
      <c r="BS161" s="1645"/>
      <c r="BT161" s="1645"/>
      <c r="BU161" s="1645"/>
      <c r="BV161" s="1169"/>
      <c r="BW161" s="1169"/>
      <c r="BX161" s="1169"/>
      <c r="BY161" s="1169"/>
      <c r="BZ161" s="1169"/>
      <c r="CA161" s="1169"/>
      <c r="CB161" s="1169"/>
      <c r="CC161" s="1169"/>
      <c r="CD161" s="1169"/>
      <c r="CE161" s="1169"/>
      <c r="CF161" s="1859"/>
    </row>
    <row customHeight="1" ht="11.25" hidden="1">
      <c r="A162" s="1802"/>
      <c r="B162" s="1645"/>
      <c r="C162" s="1645"/>
      <c r="D162" s="2588"/>
      <c r="E162" s="644"/>
      <c r="F162" s="644">
        <v>0</v>
      </c>
      <c r="G162" s="644"/>
      <c r="H162" s="644"/>
      <c r="I162" s="644"/>
      <c r="J162" s="644"/>
      <c r="K162" s="644"/>
      <c r="L162" s="644"/>
      <c r="M162" s="644"/>
      <c r="N162" s="644"/>
      <c r="O162" s="644"/>
      <c r="P162" s="644"/>
      <c r="Q162" s="644"/>
      <c r="R162" s="644"/>
      <c r="S162" s="645"/>
      <c r="T162" s="727"/>
      <c r="U162" s="2383"/>
      <c r="V162" s="2383"/>
      <c r="W162" s="1645"/>
      <c r="X162" s="1645"/>
      <c r="Y162" s="1645"/>
      <c r="Z162" s="1645"/>
      <c r="AA162" s="1645"/>
      <c r="AB162" s="1169"/>
      <c r="AC162" s="2384"/>
      <c r="AD162" s="638"/>
      <c r="AE162" s="1169"/>
      <c r="AF162" s="1169"/>
      <c r="AG162" s="1645"/>
      <c r="AH162" s="1645"/>
      <c r="AI162" s="1645"/>
      <c r="AJ162" s="1645"/>
      <c r="AK162" s="1645"/>
      <c r="AL162" s="1645"/>
      <c r="AM162" s="1645"/>
      <c r="AN162" s="1645"/>
      <c r="AO162" s="1645"/>
      <c r="AP162" s="1645"/>
      <c r="AQ162" s="1645"/>
      <c r="AR162" s="1645"/>
      <c r="AS162" s="1645"/>
      <c r="AT162" s="1645"/>
      <c r="AU162" s="1645"/>
      <c r="AV162" s="1645"/>
      <c r="AW162" s="1645"/>
      <c r="AX162" s="1645"/>
      <c r="AY162" s="1645"/>
      <c r="AZ162" s="1645"/>
      <c r="BA162" s="1645"/>
      <c r="BB162" s="1645"/>
      <c r="BC162" s="1645"/>
      <c r="BD162" s="1645"/>
      <c r="BE162" s="1645"/>
      <c r="BF162" s="1645"/>
      <c r="BG162" s="1645"/>
      <c r="BH162" s="1645"/>
      <c r="BI162" s="1645"/>
      <c r="BJ162" s="1645"/>
      <c r="BK162" s="1645"/>
      <c r="BL162" s="1645"/>
      <c r="BM162" s="1645"/>
      <c r="BN162" s="1645"/>
      <c r="BO162" s="1645"/>
      <c r="BP162" s="1645"/>
      <c r="BQ162" s="1645"/>
      <c r="BR162" s="1645"/>
      <c r="BS162" s="1645"/>
      <c r="BT162" s="1645"/>
      <c r="BU162" s="1645"/>
      <c r="BV162" s="1645"/>
      <c r="BW162" s="1645"/>
      <c r="BX162" s="1645"/>
      <c r="BY162" s="1645"/>
      <c r="BZ162" s="1645"/>
      <c r="CA162" s="1645"/>
      <c r="CB162" s="1645"/>
      <c r="CC162" s="1645"/>
      <c r="CD162" s="1645"/>
      <c r="CE162" s="1645"/>
      <c r="CF162" s="1859"/>
    </row>
    <row customHeight="1" ht="11.25" hidden="1">
      <c r="A163" s="1815"/>
      <c r="B163" s="1169"/>
      <c r="C163" s="421"/>
      <c r="D163" s="2588"/>
      <c r="E163" s="658" t="s">
        <v>22</v>
      </c>
      <c r="F163" s="1177" t="s">
        <v>22</v>
      </c>
      <c r="G163" s="1177" t="s">
        <v>688</v>
      </c>
      <c r="H163" s="660" t="s">
        <v>22</v>
      </c>
      <c r="I163" s="660"/>
      <c r="J163" s="660"/>
      <c r="K163" s="660"/>
      <c r="L163" s="660"/>
      <c r="M163" s="660"/>
      <c r="N163" s="660"/>
      <c r="O163" s="660"/>
      <c r="P163" s="660"/>
      <c r="Q163" s="660"/>
      <c r="R163" s="661"/>
      <c r="S163" s="662"/>
      <c r="T163" s="727"/>
      <c r="U163" s="2383"/>
      <c r="V163" s="2383"/>
      <c r="W163" s="1169"/>
      <c r="X163" s="1169"/>
      <c r="Y163" s="1169"/>
      <c r="Z163" s="1169"/>
      <c r="AA163" s="1645"/>
      <c r="AB163" s="1169"/>
      <c r="AC163" s="2384"/>
      <c r="AD163" s="638"/>
      <c r="AE163" s="1169"/>
      <c r="AF163" s="1169"/>
      <c r="AG163" s="1645"/>
      <c r="AH163" s="1645"/>
      <c r="AI163" s="1645"/>
      <c r="AJ163" s="1645"/>
      <c r="AK163" s="1645"/>
      <c r="AL163" s="1645"/>
      <c r="AM163" s="1645"/>
      <c r="AN163" s="1645"/>
      <c r="AO163" s="1645"/>
      <c r="AP163" s="1645"/>
      <c r="AQ163" s="1645"/>
      <c r="AR163" s="1645"/>
      <c r="AS163" s="1645"/>
      <c r="AT163" s="1645"/>
      <c r="AU163" s="1645"/>
      <c r="AV163" s="1645"/>
      <c r="AW163" s="1645"/>
      <c r="AX163" s="1645"/>
      <c r="AY163" s="1645"/>
      <c r="AZ163" s="1645"/>
      <c r="BA163" s="1645"/>
      <c r="BB163" s="1645"/>
      <c r="BC163" s="1645"/>
      <c r="BD163" s="1645"/>
      <c r="BE163" s="1645"/>
      <c r="BF163" s="1645"/>
      <c r="BG163" s="1645"/>
      <c r="BH163" s="1645"/>
      <c r="BI163" s="1645"/>
      <c r="BJ163" s="1645"/>
      <c r="BK163" s="1645"/>
      <c r="BL163" s="1645"/>
      <c r="BM163" s="1645"/>
      <c r="BN163" s="1645"/>
      <c r="BO163" s="1645"/>
      <c r="BP163" s="1645"/>
      <c r="BQ163" s="1645"/>
      <c r="BR163" s="1645"/>
      <c r="BS163" s="1645"/>
      <c r="BT163" s="1645"/>
      <c r="BU163" s="1645"/>
      <c r="BV163" s="1169"/>
      <c r="BW163" s="1169"/>
      <c r="BX163" s="1169"/>
      <c r="BY163" s="1169"/>
      <c r="BZ163" s="1169"/>
      <c r="CA163" s="1169"/>
      <c r="CB163" s="1169"/>
      <c r="CC163" s="1169"/>
      <c r="CD163" s="1169"/>
      <c r="CE163" s="1169"/>
      <c r="CF163" s="1859"/>
    </row>
    <row customHeight="1" ht="5.25" hidden="1">
      <c r="A164" s="1802"/>
      <c r="B164" s="1645"/>
      <c r="C164" s="1645"/>
      <c r="D164" s="2588"/>
      <c r="E164" s="1048"/>
      <c r="F164" s="1048"/>
      <c r="G164" s="1048"/>
      <c r="H164" s="1048"/>
      <c r="I164" s="1048"/>
      <c r="J164" s="1048"/>
      <c r="K164" s="1048"/>
      <c r="L164" s="1048"/>
      <c r="M164" s="1048"/>
      <c r="N164" s="1048"/>
      <c r="O164" s="1048"/>
      <c r="P164" s="1048"/>
      <c r="Q164" s="1049"/>
      <c r="R164" s="1050"/>
      <c r="S164" s="1051"/>
      <c r="T164" s="726" t="s">
        <v>685</v>
      </c>
      <c r="U164" s="2383">
        <v>1</v>
      </c>
      <c r="V164" s="2383" t="s">
        <v>648</v>
      </c>
      <c r="W164" s="1645"/>
      <c r="X164" s="1645"/>
      <c r="Y164" s="1645"/>
      <c r="Z164" s="1645"/>
      <c r="AA164" s="1645"/>
      <c r="AB164" s="1645"/>
      <c r="AC164" s="1046"/>
      <c r="AD164" s="1047"/>
      <c r="AE164" s="1645"/>
      <c r="AF164" s="1645"/>
      <c r="AG164" s="1645"/>
      <c r="AH164" s="1645"/>
      <c r="AI164" s="1645"/>
      <c r="AJ164" s="1645"/>
      <c r="AK164" s="1645"/>
      <c r="AL164" s="1645"/>
      <c r="AM164" s="1645"/>
      <c r="AN164" s="1645"/>
      <c r="AO164" s="1645"/>
      <c r="AP164" s="1645"/>
      <c r="AQ164" s="1645"/>
      <c r="AR164" s="1645"/>
      <c r="AS164" s="1645"/>
      <c r="AT164" s="1645"/>
      <c r="AU164" s="1645"/>
      <c r="AV164" s="1645"/>
      <c r="AW164" s="1645"/>
      <c r="AX164" s="1645"/>
      <c r="AY164" s="1645"/>
      <c r="AZ164" s="1645"/>
      <c r="BA164" s="1645"/>
      <c r="BB164" s="1645"/>
      <c r="BC164" s="1645"/>
      <c r="BD164" s="1645"/>
      <c r="BE164" s="1645"/>
      <c r="BF164" s="1645"/>
      <c r="BG164" s="1645"/>
      <c r="BH164" s="1645"/>
      <c r="BI164" s="1645"/>
      <c r="BJ164" s="1645"/>
      <c r="BK164" s="1645"/>
      <c r="BL164" s="1645"/>
      <c r="BM164" s="1645"/>
      <c r="BN164" s="1645"/>
      <c r="BO164" s="1645"/>
      <c r="BP164" s="1645"/>
      <c r="BQ164" s="1645"/>
      <c r="BR164" s="1645"/>
      <c r="BS164" s="1645"/>
      <c r="BT164" s="1645"/>
      <c r="BU164" s="1645"/>
      <c r="BV164" s="1645"/>
      <c r="BW164" s="1645"/>
      <c r="BX164" s="1645"/>
      <c r="BY164" s="1645"/>
      <c r="BZ164" s="1645"/>
      <c r="CA164" s="1645"/>
      <c r="CB164" s="1645"/>
      <c r="CC164" s="1645"/>
      <c r="CD164" s="1645"/>
      <c r="CE164" s="1645"/>
      <c r="CF164" s="1325"/>
    </row>
    <row customHeight="1" ht="5.25" hidden="1">
      <c r="A165" s="1802"/>
      <c r="B165" s="1645"/>
      <c r="C165" s="1645"/>
      <c r="D165" s="2588"/>
      <c r="E165" s="644"/>
      <c r="F165" s="644"/>
      <c r="G165" s="644"/>
      <c r="H165" s="644"/>
      <c r="I165" s="644"/>
      <c r="J165" s="644"/>
      <c r="K165" s="644"/>
      <c r="L165" s="644"/>
      <c r="M165" s="644"/>
      <c r="N165" s="644"/>
      <c r="O165" s="644"/>
      <c r="P165" s="644"/>
      <c r="Q165" s="644"/>
      <c r="R165" s="644"/>
      <c r="S165" s="645"/>
      <c r="T165" s="727"/>
      <c r="U165" s="2383"/>
      <c r="V165" s="2383"/>
      <c r="W165" s="1645"/>
      <c r="X165" s="1645"/>
      <c r="Y165" s="1645"/>
      <c r="Z165" s="1645"/>
      <c r="AA165" s="1645"/>
      <c r="AB165" s="1645"/>
      <c r="AC165" s="1046"/>
      <c r="AD165" s="1047"/>
      <c r="AE165" s="1645"/>
      <c r="AF165" s="1645"/>
      <c r="AG165" s="1645"/>
      <c r="AH165" s="1645"/>
      <c r="AI165" s="1645"/>
      <c r="AJ165" s="1645"/>
      <c r="AK165" s="1645"/>
      <c r="AL165" s="1645"/>
      <c r="AM165" s="1645"/>
      <c r="AN165" s="1645"/>
      <c r="AO165" s="1645"/>
      <c r="AP165" s="1645"/>
      <c r="AQ165" s="1645"/>
      <c r="AR165" s="1645"/>
      <c r="AS165" s="1645"/>
      <c r="AT165" s="1645"/>
      <c r="AU165" s="1645"/>
      <c r="AV165" s="1645"/>
      <c r="AW165" s="1645"/>
      <c r="AX165" s="1645"/>
      <c r="AY165" s="1645"/>
      <c r="AZ165" s="1645"/>
      <c r="BA165" s="1645"/>
      <c r="BB165" s="1645"/>
      <c r="BC165" s="1645"/>
      <c r="BD165" s="1645"/>
      <c r="BE165" s="1645"/>
      <c r="BF165" s="1645"/>
      <c r="BG165" s="1645"/>
      <c r="BH165" s="1645"/>
      <c r="BI165" s="1645"/>
      <c r="BJ165" s="1645"/>
      <c r="BK165" s="1645"/>
      <c r="BL165" s="1645"/>
      <c r="BM165" s="1645"/>
      <c r="BN165" s="1645"/>
      <c r="BO165" s="1645"/>
      <c r="BP165" s="1645"/>
      <c r="BQ165" s="1645"/>
      <c r="BR165" s="1645"/>
      <c r="BS165" s="1645"/>
      <c r="BT165" s="1645"/>
      <c r="BU165" s="1645"/>
      <c r="BV165" s="1645"/>
      <c r="BW165" s="1645"/>
      <c r="BX165" s="1645"/>
      <c r="BY165" s="1645"/>
      <c r="BZ165" s="1645"/>
      <c r="CA165" s="1645"/>
      <c r="CB165" s="1645"/>
      <c r="CC165" s="1645"/>
      <c r="CD165" s="1645"/>
      <c r="CE165" s="1645"/>
      <c r="CF165" s="1325"/>
    </row>
    <row customHeight="1" ht="5.25" hidden="1">
      <c r="A166" s="1802"/>
      <c r="B166" s="1645"/>
      <c r="C166" s="1645"/>
      <c r="D166" s="2589"/>
      <c r="E166" s="1052"/>
      <c r="F166" s="1053"/>
      <c r="G166" s="1053"/>
      <c r="H166" s="1054"/>
      <c r="I166" s="1054"/>
      <c r="J166" s="1054"/>
      <c r="K166" s="1054"/>
      <c r="L166" s="1054"/>
      <c r="M166" s="1054"/>
      <c r="N166" s="1054"/>
      <c r="O166" s="1054"/>
      <c r="P166" s="1054"/>
      <c r="Q166" s="1054"/>
      <c r="R166" s="955"/>
      <c r="S166" s="1055"/>
      <c r="T166" s="727"/>
      <c r="U166" s="2383"/>
      <c r="V166" s="2383"/>
      <c r="W166" s="1645"/>
      <c r="X166" s="1645"/>
      <c r="Y166" s="1645"/>
      <c r="Z166" s="1645"/>
      <c r="AA166" s="1645"/>
      <c r="AB166" s="1645"/>
      <c r="AC166" s="1046"/>
      <c r="AD166" s="1047"/>
      <c r="AE166" s="1645"/>
      <c r="AF166" s="1645"/>
      <c r="AG166" s="1645"/>
      <c r="AH166" s="1645"/>
      <c r="AI166" s="1645"/>
      <c r="AJ166" s="1645"/>
      <c r="AK166" s="1645"/>
      <c r="AL166" s="1645"/>
      <c r="AM166" s="1645"/>
      <c r="AN166" s="1645"/>
      <c r="AO166" s="1645"/>
      <c r="AP166" s="1645"/>
      <c r="AQ166" s="1645"/>
      <c r="AR166" s="1645"/>
      <c r="AS166" s="1645"/>
      <c r="AT166" s="1645"/>
      <c r="AU166" s="1645"/>
      <c r="AV166" s="1645"/>
      <c r="AW166" s="1645"/>
      <c r="AX166" s="1645"/>
      <c r="AY166" s="1645"/>
      <c r="AZ166" s="1645"/>
      <c r="BA166" s="1645"/>
      <c r="BB166" s="1645"/>
      <c r="BC166" s="1645"/>
      <c r="BD166" s="1645"/>
      <c r="BE166" s="1645"/>
      <c r="BF166" s="1645"/>
      <c r="BG166" s="1645"/>
      <c r="BH166" s="1645"/>
      <c r="BI166" s="1645"/>
      <c r="BJ166" s="1645"/>
      <c r="BK166" s="1645"/>
      <c r="BL166" s="1645"/>
      <c r="BM166" s="1645"/>
      <c r="BN166" s="1645"/>
      <c r="BO166" s="1645"/>
      <c r="BP166" s="1645"/>
      <c r="BQ166" s="1645"/>
      <c r="BR166" s="1645"/>
      <c r="BS166" s="1645"/>
      <c r="BT166" s="1645"/>
      <c r="BU166" s="1645"/>
      <c r="BV166" s="1645"/>
      <c r="BW166" s="1645"/>
      <c r="BX166" s="1645"/>
      <c r="BY166" s="1645"/>
      <c r="BZ166" s="1645"/>
      <c r="CA166" s="1645"/>
      <c r="CB166" s="1645"/>
      <c r="CC166" s="1645"/>
      <c r="CD166" s="1645"/>
      <c r="CE166" s="1645"/>
      <c r="CF166" s="1325"/>
    </row>
    <row customHeight="1" ht="15" hidden="1">
      <c r="A167" s="632" t="s">
        <v>165</v>
      </c>
      <c r="B167" s="633"/>
      <c r="C167" s="633" t="s">
        <v>22</v>
      </c>
      <c r="D167" s="2587" t="s">
        <v>704</v>
      </c>
      <c r="E167" s="2386" t="s">
        <v>105</v>
      </c>
      <c r="F167" s="2387"/>
      <c r="G167" s="2388"/>
      <c r="H167" s="2392" t="str">
        <f>IF(A167="","",INDEX(DIFFERENTIATION_UNMERGE_VD,MATCH(A167,DIFFERENTIATION_ID_DIFF,0)))</f>
        <v>Производство тепловой энергии. Некомбинированная выработка</v>
      </c>
      <c r="I167" s="2392"/>
      <c r="J167" s="2392"/>
      <c r="K167" s="2392"/>
      <c r="L167" s="2392"/>
      <c r="M167" s="2392"/>
      <c r="N167" s="2392"/>
      <c r="O167" s="2392"/>
      <c r="P167" s="2392"/>
      <c r="Q167" s="2392"/>
      <c r="R167" s="2392"/>
      <c r="S167" s="728"/>
      <c r="T167" s="725"/>
      <c r="U167" s="634"/>
      <c r="V167" s="634"/>
      <c r="W167" s="635"/>
      <c r="X167" s="635"/>
      <c r="Y167" s="635"/>
      <c r="Z167" s="635"/>
      <c r="AA167" s="636"/>
      <c r="AB167" s="637"/>
      <c r="AC167" s="2384"/>
      <c r="AD167" s="638"/>
      <c r="AE167" s="639" t="s">
        <v>22</v>
      </c>
      <c r="AF167" s="639"/>
      <c r="AG167" s="640" t="s">
        <v>682</v>
      </c>
      <c r="AH167" s="641">
        <v>3</v>
      </c>
      <c r="AI167" s="634"/>
      <c r="AJ167" s="634"/>
      <c r="AK167" s="634"/>
      <c r="AL167" s="634"/>
      <c r="AM167" s="634"/>
      <c r="AN167" s="634"/>
      <c r="AO167" s="634"/>
      <c r="AP167" s="634"/>
      <c r="AQ167" s="634"/>
      <c r="AR167" s="634"/>
      <c r="AS167" s="634"/>
      <c r="AT167" s="634"/>
      <c r="AU167" s="634"/>
      <c r="AV167" s="634"/>
      <c r="AW167" s="634"/>
      <c r="AX167" s="634"/>
      <c r="AY167" s="634"/>
      <c r="AZ167" s="634"/>
      <c r="BA167" s="634"/>
      <c r="BB167" s="634"/>
      <c r="BC167" s="634"/>
      <c r="BD167" s="634"/>
      <c r="BE167" s="634"/>
      <c r="BF167" s="634"/>
      <c r="BG167" s="634"/>
      <c r="BH167" s="634"/>
      <c r="BI167" s="634"/>
      <c r="BJ167" s="634"/>
      <c r="BK167" s="634"/>
      <c r="BL167" s="634"/>
      <c r="BM167" s="634"/>
      <c r="BN167" s="634"/>
      <c r="BO167" s="634"/>
      <c r="BP167" s="634"/>
      <c r="BQ167" s="634"/>
      <c r="BR167" s="634"/>
      <c r="BS167" s="634"/>
      <c r="BT167" s="634"/>
      <c r="BU167" s="634"/>
      <c r="BV167" s="635"/>
      <c r="BW167" s="635"/>
      <c r="BX167" s="635"/>
      <c r="BY167" s="635"/>
      <c r="BZ167" s="635"/>
      <c r="CA167" s="635"/>
      <c r="CB167" s="635"/>
      <c r="CC167" s="635"/>
      <c r="CD167" s="635"/>
      <c r="CE167" s="635"/>
      <c r="CF167" s="1859"/>
    </row>
    <row customHeight="1" ht="15" hidden="1">
      <c r="A168" s="632"/>
      <c r="B168" s="633"/>
      <c r="C168" s="633"/>
      <c r="D168" s="2588"/>
      <c r="E168" s="2386" t="s">
        <v>637</v>
      </c>
      <c r="F168" s="2387"/>
      <c r="G168" s="2388"/>
      <c r="H168" s="2392" t="str">
        <f>IF(A167="","",INDEX(DIFFERENTIATION_UNMERGE_AREA,MATCH(A167,DIFFERENTIATION_ID_DIFF,0)))</f>
        <v>Территория 1</v>
      </c>
      <c r="I168" s="2392"/>
      <c r="J168" s="2392"/>
      <c r="K168" s="2392"/>
      <c r="L168" s="2392"/>
      <c r="M168" s="2392"/>
      <c r="N168" s="2392"/>
      <c r="O168" s="2392"/>
      <c r="P168" s="2392"/>
      <c r="Q168" s="2392"/>
      <c r="R168" s="2392"/>
      <c r="S168" s="728"/>
      <c r="T168" s="725"/>
      <c r="U168" s="634"/>
      <c r="V168" s="634"/>
      <c r="W168" s="635"/>
      <c r="X168" s="635"/>
      <c r="Y168" s="635"/>
      <c r="Z168" s="635"/>
      <c r="AA168" s="636"/>
      <c r="AB168" s="637"/>
      <c r="AC168" s="2384"/>
      <c r="AD168" s="638"/>
      <c r="AE168" s="639"/>
      <c r="AF168" s="639"/>
      <c r="AG168" s="640"/>
      <c r="AH168" s="641"/>
      <c r="AI168" s="634"/>
      <c r="AJ168" s="634"/>
      <c r="AK168" s="634"/>
      <c r="AL168" s="634"/>
      <c r="AM168" s="634"/>
      <c r="AN168" s="634"/>
      <c r="AO168" s="634"/>
      <c r="AP168" s="634"/>
      <c r="AQ168" s="634"/>
      <c r="AR168" s="634"/>
      <c r="AS168" s="634"/>
      <c r="AT168" s="634"/>
      <c r="AU168" s="634"/>
      <c r="AV168" s="634"/>
      <c r="AW168" s="634"/>
      <c r="AX168" s="634"/>
      <c r="AY168" s="634"/>
      <c r="AZ168" s="634"/>
      <c r="BA168" s="634"/>
      <c r="BB168" s="634"/>
      <c r="BC168" s="634"/>
      <c r="BD168" s="634"/>
      <c r="BE168" s="634"/>
      <c r="BF168" s="634"/>
      <c r="BG168" s="634"/>
      <c r="BH168" s="634"/>
      <c r="BI168" s="634"/>
      <c r="BJ168" s="634"/>
      <c r="BK168" s="634"/>
      <c r="BL168" s="634"/>
      <c r="BM168" s="634"/>
      <c r="BN168" s="634"/>
      <c r="BO168" s="634"/>
      <c r="BP168" s="634"/>
      <c r="BQ168" s="634"/>
      <c r="BR168" s="634"/>
      <c r="BS168" s="634"/>
      <c r="BT168" s="634"/>
      <c r="BU168" s="634"/>
      <c r="BV168" s="635"/>
      <c r="BW168" s="635"/>
      <c r="BX168" s="635"/>
      <c r="BY168" s="635"/>
      <c r="BZ168" s="635"/>
      <c r="CA168" s="635"/>
      <c r="CB168" s="635"/>
      <c r="CC168" s="635"/>
      <c r="CD168" s="635"/>
      <c r="CE168" s="635"/>
      <c r="CF168" s="1859"/>
    </row>
    <row customHeight="1" ht="15" hidden="1">
      <c r="A169" s="632"/>
      <c r="B169" s="633"/>
      <c r="C169" s="633"/>
      <c r="D169" s="2588"/>
      <c r="E169" s="2386" t="s">
        <v>638</v>
      </c>
      <c r="F169" s="2387"/>
      <c r="G169" s="2388"/>
      <c r="H169" s="2392" t="str">
        <f>IF(A167="","",INDEX(DIFFERENTIATION_UNMERGE_SYSTEM,MATCH(A167,DIFFERENTIATION_ID_DIFF,0)))</f>
        <v>Котельная №14, ул.Радиозаводская</v>
      </c>
      <c r="I169" s="2392"/>
      <c r="J169" s="2392"/>
      <c r="K169" s="2392"/>
      <c r="L169" s="2392"/>
      <c r="M169" s="2392"/>
      <c r="N169" s="2392"/>
      <c r="O169" s="2392"/>
      <c r="P169" s="2392"/>
      <c r="Q169" s="2392"/>
      <c r="R169" s="2392"/>
      <c r="S169" s="728"/>
      <c r="T169" s="725"/>
      <c r="U169" s="634"/>
      <c r="V169" s="634"/>
      <c r="W169" s="635"/>
      <c r="X169" s="635"/>
      <c r="Y169" s="635"/>
      <c r="Z169" s="635"/>
      <c r="AA169" s="636"/>
      <c r="AB169" s="637"/>
      <c r="AC169" s="2384"/>
      <c r="AD169" s="638"/>
      <c r="AE169" s="639"/>
      <c r="AF169" s="639"/>
      <c r="AG169" s="640"/>
      <c r="AH169" s="641"/>
      <c r="AI169" s="634"/>
      <c r="AJ169" s="634"/>
      <c r="AK169" s="634"/>
      <c r="AL169" s="634"/>
      <c r="AM169" s="634"/>
      <c r="AN169" s="634"/>
      <c r="AO169" s="634"/>
      <c r="AP169" s="634"/>
      <c r="AQ169" s="634"/>
      <c r="AR169" s="634"/>
      <c r="AS169" s="634"/>
      <c r="AT169" s="634"/>
      <c r="AU169" s="634"/>
      <c r="AV169" s="634"/>
      <c r="AW169" s="634"/>
      <c r="AX169" s="634"/>
      <c r="AY169" s="634"/>
      <c r="AZ169" s="634"/>
      <c r="BA169" s="634"/>
      <c r="BB169" s="634"/>
      <c r="BC169" s="634"/>
      <c r="BD169" s="634"/>
      <c r="BE169" s="634"/>
      <c r="BF169" s="634"/>
      <c r="BG169" s="634"/>
      <c r="BH169" s="634"/>
      <c r="BI169" s="634"/>
      <c r="BJ169" s="634"/>
      <c r="BK169" s="634"/>
      <c r="BL169" s="634"/>
      <c r="BM169" s="634"/>
      <c r="BN169" s="634"/>
      <c r="BO169" s="634"/>
      <c r="BP169" s="634"/>
      <c r="BQ169" s="634"/>
      <c r="BR169" s="634"/>
      <c r="BS169" s="634"/>
      <c r="BT169" s="634"/>
      <c r="BU169" s="634"/>
      <c r="BV169" s="635"/>
      <c r="BW169" s="635"/>
      <c r="BX169" s="635"/>
      <c r="BY169" s="635"/>
      <c r="BZ169" s="635"/>
      <c r="CA169" s="635"/>
      <c r="CB169" s="635"/>
      <c r="CC169" s="635"/>
      <c r="CD169" s="635"/>
      <c r="CE169" s="635"/>
      <c r="CF169" s="1859"/>
    </row>
    <row customHeight="1" ht="24.75" hidden="1">
      <c r="A170" s="1815"/>
      <c r="B170" s="1169"/>
      <c r="C170" s="421"/>
      <c r="D170" s="2588"/>
      <c r="E170" s="2385" t="s">
        <v>683</v>
      </c>
      <c r="F170" s="2385"/>
      <c r="G170" s="2385"/>
      <c r="H170" s="2385"/>
      <c r="I170" s="2385"/>
      <c r="J170" s="2385"/>
      <c r="K170" s="2385"/>
      <c r="L170" s="2385"/>
      <c r="M170" s="2385"/>
      <c r="N170" s="2385"/>
      <c r="O170" s="2385"/>
      <c r="P170" s="2385"/>
      <c r="Q170" s="567">
        <f>SUMIF(T171:T172,"i",Q171:Q172)</f>
        <v>0</v>
      </c>
      <c r="R170" s="1026"/>
      <c r="S170" s="1807" t="s">
        <v>684</v>
      </c>
      <c r="T170" s="726" t="s">
        <v>685</v>
      </c>
      <c r="U170" s="2383">
        <v>1</v>
      </c>
      <c r="V170" s="2383" t="s">
        <v>648</v>
      </c>
      <c r="W170" s="1169"/>
      <c r="X170" s="1169"/>
      <c r="Y170" s="1169"/>
      <c r="Z170" s="1169"/>
      <c r="AA170" s="1645"/>
      <c r="AB170" s="1169"/>
      <c r="AC170" s="2384"/>
      <c r="AD170" s="638"/>
      <c r="AE170" s="1169"/>
      <c r="AF170" s="1169"/>
      <c r="AG170" s="1645"/>
      <c r="AH170" s="1645"/>
      <c r="AI170" s="1645"/>
      <c r="AJ170" s="1645"/>
      <c r="AK170" s="1645"/>
      <c r="AL170" s="1645"/>
      <c r="AM170" s="1645"/>
      <c r="AN170" s="1645"/>
      <c r="AO170" s="1645"/>
      <c r="AP170" s="1645"/>
      <c r="AQ170" s="1645"/>
      <c r="AR170" s="1645"/>
      <c r="AS170" s="1645"/>
      <c r="AT170" s="1645"/>
      <c r="AU170" s="1645"/>
      <c r="AV170" s="1645"/>
      <c r="AW170" s="1645"/>
      <c r="AX170" s="1645"/>
      <c r="AY170" s="1645"/>
      <c r="AZ170" s="1645"/>
      <c r="BA170" s="1645"/>
      <c r="BB170" s="1645"/>
      <c r="BC170" s="1645"/>
      <c r="BD170" s="1645"/>
      <c r="BE170" s="1645"/>
      <c r="BF170" s="1645"/>
      <c r="BG170" s="1645"/>
      <c r="BH170" s="1645"/>
      <c r="BI170" s="1645"/>
      <c r="BJ170" s="1645"/>
      <c r="BK170" s="1645"/>
      <c r="BL170" s="1645"/>
      <c r="BM170" s="1645"/>
      <c r="BN170" s="1645"/>
      <c r="BO170" s="1645"/>
      <c r="BP170" s="1645"/>
      <c r="BQ170" s="1645"/>
      <c r="BR170" s="1645"/>
      <c r="BS170" s="1645"/>
      <c r="BT170" s="1645"/>
      <c r="BU170" s="1645"/>
      <c r="BV170" s="1169"/>
      <c r="BW170" s="1169"/>
      <c r="BX170" s="1169"/>
      <c r="BY170" s="1169"/>
      <c r="BZ170" s="1169"/>
      <c r="CA170" s="1169"/>
      <c r="CB170" s="1169"/>
      <c r="CC170" s="1169"/>
      <c r="CD170" s="1169"/>
      <c r="CE170" s="1169"/>
      <c r="CF170" s="1859"/>
    </row>
    <row customHeight="1" ht="11.25" hidden="1">
      <c r="A171" s="1802"/>
      <c r="B171" s="1645"/>
      <c r="C171" s="1645"/>
      <c r="D171" s="2588"/>
      <c r="E171" s="644"/>
      <c r="F171" s="644">
        <v>0</v>
      </c>
      <c r="G171" s="644"/>
      <c r="H171" s="644"/>
      <c r="I171" s="644"/>
      <c r="J171" s="644"/>
      <c r="K171" s="644"/>
      <c r="L171" s="644"/>
      <c r="M171" s="644"/>
      <c r="N171" s="644"/>
      <c r="O171" s="644"/>
      <c r="P171" s="644"/>
      <c r="Q171" s="644"/>
      <c r="R171" s="644"/>
      <c r="S171" s="645"/>
      <c r="T171" s="727"/>
      <c r="U171" s="2383"/>
      <c r="V171" s="2383"/>
      <c r="W171" s="1645"/>
      <c r="X171" s="1645"/>
      <c r="Y171" s="1645"/>
      <c r="Z171" s="1645"/>
      <c r="AA171" s="1645"/>
      <c r="AB171" s="1169"/>
      <c r="AC171" s="2384"/>
      <c r="AD171" s="638"/>
      <c r="AE171" s="1169"/>
      <c r="AF171" s="1169"/>
      <c r="AG171" s="1645"/>
      <c r="AH171" s="1645"/>
      <c r="AI171" s="1645"/>
      <c r="AJ171" s="1645"/>
      <c r="AK171" s="1645"/>
      <c r="AL171" s="1645"/>
      <c r="AM171" s="1645"/>
      <c r="AN171" s="1645"/>
      <c r="AO171" s="1645"/>
      <c r="AP171" s="1645"/>
      <c r="AQ171" s="1645"/>
      <c r="AR171" s="1645"/>
      <c r="AS171" s="1645"/>
      <c r="AT171" s="1645"/>
      <c r="AU171" s="1645"/>
      <c r="AV171" s="1645"/>
      <c r="AW171" s="1645"/>
      <c r="AX171" s="1645"/>
      <c r="AY171" s="1645"/>
      <c r="AZ171" s="1645"/>
      <c r="BA171" s="1645"/>
      <c r="BB171" s="1645"/>
      <c r="BC171" s="1645"/>
      <c r="BD171" s="1645"/>
      <c r="BE171" s="1645"/>
      <c r="BF171" s="1645"/>
      <c r="BG171" s="1645"/>
      <c r="BH171" s="1645"/>
      <c r="BI171" s="1645"/>
      <c r="BJ171" s="1645"/>
      <c r="BK171" s="1645"/>
      <c r="BL171" s="1645"/>
      <c r="BM171" s="1645"/>
      <c r="BN171" s="1645"/>
      <c r="BO171" s="1645"/>
      <c r="BP171" s="1645"/>
      <c r="BQ171" s="1645"/>
      <c r="BR171" s="1645"/>
      <c r="BS171" s="1645"/>
      <c r="BT171" s="1645"/>
      <c r="BU171" s="1645"/>
      <c r="BV171" s="1645"/>
      <c r="BW171" s="1645"/>
      <c r="BX171" s="1645"/>
      <c r="BY171" s="1645"/>
      <c r="BZ171" s="1645"/>
      <c r="CA171" s="1645"/>
      <c r="CB171" s="1645"/>
      <c r="CC171" s="1645"/>
      <c r="CD171" s="1645"/>
      <c r="CE171" s="1645"/>
      <c r="CF171" s="1859"/>
    </row>
    <row customHeight="1" ht="11.25" hidden="1">
      <c r="A172" s="1815"/>
      <c r="B172" s="1169"/>
      <c r="C172" s="421"/>
      <c r="D172" s="2588"/>
      <c r="E172" s="658" t="s">
        <v>22</v>
      </c>
      <c r="F172" s="1177" t="s">
        <v>22</v>
      </c>
      <c r="G172" s="1177" t="s">
        <v>688</v>
      </c>
      <c r="H172" s="660" t="s">
        <v>22</v>
      </c>
      <c r="I172" s="660"/>
      <c r="J172" s="660"/>
      <c r="K172" s="660"/>
      <c r="L172" s="660"/>
      <c r="M172" s="660"/>
      <c r="N172" s="660"/>
      <c r="O172" s="660"/>
      <c r="P172" s="660"/>
      <c r="Q172" s="660"/>
      <c r="R172" s="661"/>
      <c r="S172" s="662"/>
      <c r="T172" s="727"/>
      <c r="U172" s="2383"/>
      <c r="V172" s="2383"/>
      <c r="W172" s="1169"/>
      <c r="X172" s="1169"/>
      <c r="Y172" s="1169"/>
      <c r="Z172" s="1169"/>
      <c r="AA172" s="1645"/>
      <c r="AB172" s="1169"/>
      <c r="AC172" s="2384"/>
      <c r="AD172" s="638"/>
      <c r="AE172" s="1169"/>
      <c r="AF172" s="1169"/>
      <c r="AG172" s="1645"/>
      <c r="AH172" s="1645"/>
      <c r="AI172" s="1645"/>
      <c r="AJ172" s="1645"/>
      <c r="AK172" s="1645"/>
      <c r="AL172" s="1645"/>
      <c r="AM172" s="1645"/>
      <c r="AN172" s="1645"/>
      <c r="AO172" s="1645"/>
      <c r="AP172" s="1645"/>
      <c r="AQ172" s="1645"/>
      <c r="AR172" s="1645"/>
      <c r="AS172" s="1645"/>
      <c r="AT172" s="1645"/>
      <c r="AU172" s="1645"/>
      <c r="AV172" s="1645"/>
      <c r="AW172" s="1645"/>
      <c r="AX172" s="1645"/>
      <c r="AY172" s="1645"/>
      <c r="AZ172" s="1645"/>
      <c r="BA172" s="1645"/>
      <c r="BB172" s="1645"/>
      <c r="BC172" s="1645"/>
      <c r="BD172" s="1645"/>
      <c r="BE172" s="1645"/>
      <c r="BF172" s="1645"/>
      <c r="BG172" s="1645"/>
      <c r="BH172" s="1645"/>
      <c r="BI172" s="1645"/>
      <c r="BJ172" s="1645"/>
      <c r="BK172" s="1645"/>
      <c r="BL172" s="1645"/>
      <c r="BM172" s="1645"/>
      <c r="BN172" s="1645"/>
      <c r="BO172" s="1645"/>
      <c r="BP172" s="1645"/>
      <c r="BQ172" s="1645"/>
      <c r="BR172" s="1645"/>
      <c r="BS172" s="1645"/>
      <c r="BT172" s="1645"/>
      <c r="BU172" s="1645"/>
      <c r="BV172" s="1169"/>
      <c r="BW172" s="1169"/>
      <c r="BX172" s="1169"/>
      <c r="BY172" s="1169"/>
      <c r="BZ172" s="1169"/>
      <c r="CA172" s="1169"/>
      <c r="CB172" s="1169"/>
      <c r="CC172" s="1169"/>
      <c r="CD172" s="1169"/>
      <c r="CE172" s="1169"/>
      <c r="CF172" s="1859"/>
    </row>
    <row customHeight="1" ht="5.25" hidden="1">
      <c r="A173" s="1802"/>
      <c r="B173" s="1645"/>
      <c r="C173" s="1645"/>
      <c r="D173" s="2588"/>
      <c r="E173" s="1048"/>
      <c r="F173" s="1048"/>
      <c r="G173" s="1048"/>
      <c r="H173" s="1048"/>
      <c r="I173" s="1048"/>
      <c r="J173" s="1048"/>
      <c r="K173" s="1048"/>
      <c r="L173" s="1048"/>
      <c r="M173" s="1048"/>
      <c r="N173" s="1048"/>
      <c r="O173" s="1048"/>
      <c r="P173" s="1048"/>
      <c r="Q173" s="1049"/>
      <c r="R173" s="1050"/>
      <c r="S173" s="1051"/>
      <c r="T173" s="726" t="s">
        <v>685</v>
      </c>
      <c r="U173" s="2383">
        <v>1</v>
      </c>
      <c r="V173" s="2383" t="s">
        <v>648</v>
      </c>
      <c r="W173" s="1645"/>
      <c r="X173" s="1645"/>
      <c r="Y173" s="1645"/>
      <c r="Z173" s="1645"/>
      <c r="AA173" s="1645"/>
      <c r="AB173" s="1645"/>
      <c r="AC173" s="1046"/>
      <c r="AD173" s="1047"/>
      <c r="AE173" s="1645"/>
      <c r="AF173" s="1645"/>
      <c r="AG173" s="1645"/>
      <c r="AH173" s="1645"/>
      <c r="AI173" s="1645"/>
      <c r="AJ173" s="1645"/>
      <c r="AK173" s="1645"/>
      <c r="AL173" s="1645"/>
      <c r="AM173" s="1645"/>
      <c r="AN173" s="1645"/>
      <c r="AO173" s="1645"/>
      <c r="AP173" s="1645"/>
      <c r="AQ173" s="1645"/>
      <c r="AR173" s="1645"/>
      <c r="AS173" s="1645"/>
      <c r="AT173" s="1645"/>
      <c r="AU173" s="1645"/>
      <c r="AV173" s="1645"/>
      <c r="AW173" s="1645"/>
      <c r="AX173" s="1645"/>
      <c r="AY173" s="1645"/>
      <c r="AZ173" s="1645"/>
      <c r="BA173" s="1645"/>
      <c r="BB173" s="1645"/>
      <c r="BC173" s="1645"/>
      <c r="BD173" s="1645"/>
      <c r="BE173" s="1645"/>
      <c r="BF173" s="1645"/>
      <c r="BG173" s="1645"/>
      <c r="BH173" s="1645"/>
      <c r="BI173" s="1645"/>
      <c r="BJ173" s="1645"/>
      <c r="BK173" s="1645"/>
      <c r="BL173" s="1645"/>
      <c r="BM173" s="1645"/>
      <c r="BN173" s="1645"/>
      <c r="BO173" s="1645"/>
      <c r="BP173" s="1645"/>
      <c r="BQ173" s="1645"/>
      <c r="BR173" s="1645"/>
      <c r="BS173" s="1645"/>
      <c r="BT173" s="1645"/>
      <c r="BU173" s="1645"/>
      <c r="BV173" s="1645"/>
      <c r="BW173" s="1645"/>
      <c r="BX173" s="1645"/>
      <c r="BY173" s="1645"/>
      <c r="BZ173" s="1645"/>
      <c r="CA173" s="1645"/>
      <c r="CB173" s="1645"/>
      <c r="CC173" s="1645"/>
      <c r="CD173" s="1645"/>
      <c r="CE173" s="1645"/>
      <c r="CF173" s="1325"/>
    </row>
    <row customHeight="1" ht="5.25" hidden="1">
      <c r="A174" s="1802"/>
      <c r="B174" s="1645"/>
      <c r="C174" s="1645"/>
      <c r="D174" s="2588"/>
      <c r="E174" s="644"/>
      <c r="F174" s="644"/>
      <c r="G174" s="644"/>
      <c r="H174" s="644"/>
      <c r="I174" s="644"/>
      <c r="J174" s="644"/>
      <c r="K174" s="644"/>
      <c r="L174" s="644"/>
      <c r="M174" s="644"/>
      <c r="N174" s="644"/>
      <c r="O174" s="644"/>
      <c r="P174" s="644"/>
      <c r="Q174" s="644"/>
      <c r="R174" s="644"/>
      <c r="S174" s="645"/>
      <c r="T174" s="727"/>
      <c r="U174" s="2383"/>
      <c r="V174" s="2383"/>
      <c r="W174" s="1645"/>
      <c r="X174" s="1645"/>
      <c r="Y174" s="1645"/>
      <c r="Z174" s="1645"/>
      <c r="AA174" s="1645"/>
      <c r="AB174" s="1645"/>
      <c r="AC174" s="1046"/>
      <c r="AD174" s="1047"/>
      <c r="AE174" s="1645"/>
      <c r="AF174" s="1645"/>
      <c r="AG174" s="1645"/>
      <c r="AH174" s="1645"/>
      <c r="AI174" s="1645"/>
      <c r="AJ174" s="1645"/>
      <c r="AK174" s="1645"/>
      <c r="AL174" s="1645"/>
      <c r="AM174" s="1645"/>
      <c r="AN174" s="1645"/>
      <c r="AO174" s="1645"/>
      <c r="AP174" s="1645"/>
      <c r="AQ174" s="1645"/>
      <c r="AR174" s="1645"/>
      <c r="AS174" s="1645"/>
      <c r="AT174" s="1645"/>
      <c r="AU174" s="1645"/>
      <c r="AV174" s="1645"/>
      <c r="AW174" s="1645"/>
      <c r="AX174" s="1645"/>
      <c r="AY174" s="1645"/>
      <c r="AZ174" s="1645"/>
      <c r="BA174" s="1645"/>
      <c r="BB174" s="1645"/>
      <c r="BC174" s="1645"/>
      <c r="BD174" s="1645"/>
      <c r="BE174" s="1645"/>
      <c r="BF174" s="1645"/>
      <c r="BG174" s="1645"/>
      <c r="BH174" s="1645"/>
      <c r="BI174" s="1645"/>
      <c r="BJ174" s="1645"/>
      <c r="BK174" s="1645"/>
      <c r="BL174" s="1645"/>
      <c r="BM174" s="1645"/>
      <c r="BN174" s="1645"/>
      <c r="BO174" s="1645"/>
      <c r="BP174" s="1645"/>
      <c r="BQ174" s="1645"/>
      <c r="BR174" s="1645"/>
      <c r="BS174" s="1645"/>
      <c r="BT174" s="1645"/>
      <c r="BU174" s="1645"/>
      <c r="BV174" s="1645"/>
      <c r="BW174" s="1645"/>
      <c r="BX174" s="1645"/>
      <c r="BY174" s="1645"/>
      <c r="BZ174" s="1645"/>
      <c r="CA174" s="1645"/>
      <c r="CB174" s="1645"/>
      <c r="CC174" s="1645"/>
      <c r="CD174" s="1645"/>
      <c r="CE174" s="1645"/>
      <c r="CF174" s="1325"/>
    </row>
    <row customHeight="1" ht="5.25" hidden="1">
      <c r="A175" s="1802"/>
      <c r="B175" s="1645"/>
      <c r="C175" s="1645"/>
      <c r="D175" s="2589"/>
      <c r="E175" s="1052"/>
      <c r="F175" s="1053"/>
      <c r="G175" s="1053"/>
      <c r="H175" s="1054"/>
      <c r="I175" s="1054"/>
      <c r="J175" s="1054"/>
      <c r="K175" s="1054"/>
      <c r="L175" s="1054"/>
      <c r="M175" s="1054"/>
      <c r="N175" s="1054"/>
      <c r="O175" s="1054"/>
      <c r="P175" s="1054"/>
      <c r="Q175" s="1054"/>
      <c r="R175" s="955"/>
      <c r="S175" s="1055"/>
      <c r="T175" s="727"/>
      <c r="U175" s="2383"/>
      <c r="V175" s="2383"/>
      <c r="W175" s="1645"/>
      <c r="X175" s="1645"/>
      <c r="Y175" s="1645"/>
      <c r="Z175" s="1645"/>
      <c r="AA175" s="1645"/>
      <c r="AB175" s="1645"/>
      <c r="AC175" s="1046"/>
      <c r="AD175" s="1047"/>
      <c r="AE175" s="1645"/>
      <c r="AF175" s="1645"/>
      <c r="AG175" s="1645"/>
      <c r="AH175" s="1645"/>
      <c r="AI175" s="1645"/>
      <c r="AJ175" s="1645"/>
      <c r="AK175" s="1645"/>
      <c r="AL175" s="1645"/>
      <c r="AM175" s="1645"/>
      <c r="AN175" s="1645"/>
      <c r="AO175" s="1645"/>
      <c r="AP175" s="1645"/>
      <c r="AQ175" s="1645"/>
      <c r="AR175" s="1645"/>
      <c r="AS175" s="1645"/>
      <c r="AT175" s="1645"/>
      <c r="AU175" s="1645"/>
      <c r="AV175" s="1645"/>
      <c r="AW175" s="1645"/>
      <c r="AX175" s="1645"/>
      <c r="AY175" s="1645"/>
      <c r="AZ175" s="1645"/>
      <c r="BA175" s="1645"/>
      <c r="BB175" s="1645"/>
      <c r="BC175" s="1645"/>
      <c r="BD175" s="1645"/>
      <c r="BE175" s="1645"/>
      <c r="BF175" s="1645"/>
      <c r="BG175" s="1645"/>
      <c r="BH175" s="1645"/>
      <c r="BI175" s="1645"/>
      <c r="BJ175" s="1645"/>
      <c r="BK175" s="1645"/>
      <c r="BL175" s="1645"/>
      <c r="BM175" s="1645"/>
      <c r="BN175" s="1645"/>
      <c r="BO175" s="1645"/>
      <c r="BP175" s="1645"/>
      <c r="BQ175" s="1645"/>
      <c r="BR175" s="1645"/>
      <c r="BS175" s="1645"/>
      <c r="BT175" s="1645"/>
      <c r="BU175" s="1645"/>
      <c r="BV175" s="1645"/>
      <c r="BW175" s="1645"/>
      <c r="BX175" s="1645"/>
      <c r="BY175" s="1645"/>
      <c r="BZ175" s="1645"/>
      <c r="CA175" s="1645"/>
      <c r="CB175" s="1645"/>
      <c r="CC175" s="1645"/>
      <c r="CD175" s="1645"/>
      <c r="CE175" s="1645"/>
      <c r="CF175" s="1325"/>
    </row>
    <row customHeight="1" ht="15" hidden="1">
      <c r="A176" s="632" t="s">
        <v>168</v>
      </c>
      <c r="B176" s="633"/>
      <c r="C176" s="633" t="s">
        <v>22</v>
      </c>
      <c r="D176" s="2587" t="s">
        <v>705</v>
      </c>
      <c r="E176" s="2386" t="s">
        <v>105</v>
      </c>
      <c r="F176" s="2387"/>
      <c r="G176" s="2388"/>
      <c r="H176" s="2392" t="str">
        <f>IF(A176="","",INDEX(DIFFERENTIATION_UNMERGE_VD,MATCH(A176,DIFFERENTIATION_ID_DIFF,0)))</f>
        <v>Производство тепловой энергии. Некомбинированная выработка</v>
      </c>
      <c r="I176" s="2392"/>
      <c r="J176" s="2392"/>
      <c r="K176" s="2392"/>
      <c r="L176" s="2392"/>
      <c r="M176" s="2392"/>
      <c r="N176" s="2392"/>
      <c r="O176" s="2392"/>
      <c r="P176" s="2392"/>
      <c r="Q176" s="2392"/>
      <c r="R176" s="2392"/>
      <c r="S176" s="728"/>
      <c r="T176" s="725"/>
      <c r="U176" s="634"/>
      <c r="V176" s="634"/>
      <c r="W176" s="635"/>
      <c r="X176" s="635"/>
      <c r="Y176" s="635"/>
      <c r="Z176" s="635"/>
      <c r="AA176" s="636"/>
      <c r="AB176" s="637"/>
      <c r="AC176" s="2384"/>
      <c r="AD176" s="638"/>
      <c r="AE176" s="639" t="s">
        <v>22</v>
      </c>
      <c r="AF176" s="639"/>
      <c r="AG176" s="640" t="s">
        <v>682</v>
      </c>
      <c r="AH176" s="641">
        <v>3</v>
      </c>
      <c r="AI176" s="634"/>
      <c r="AJ176" s="634"/>
      <c r="AK176" s="634"/>
      <c r="AL176" s="634"/>
      <c r="AM176" s="634"/>
      <c r="AN176" s="634"/>
      <c r="AO176" s="634"/>
      <c r="AP176" s="634"/>
      <c r="AQ176" s="634"/>
      <c r="AR176" s="634"/>
      <c r="AS176" s="634"/>
      <c r="AT176" s="634"/>
      <c r="AU176" s="634"/>
      <c r="AV176" s="634"/>
      <c r="AW176" s="634"/>
      <c r="AX176" s="634"/>
      <c r="AY176" s="634"/>
      <c r="AZ176" s="634"/>
      <c r="BA176" s="634"/>
      <c r="BB176" s="634"/>
      <c r="BC176" s="634"/>
      <c r="BD176" s="634"/>
      <c r="BE176" s="634"/>
      <c r="BF176" s="634"/>
      <c r="BG176" s="634"/>
      <c r="BH176" s="634"/>
      <c r="BI176" s="634"/>
      <c r="BJ176" s="634"/>
      <c r="BK176" s="634"/>
      <c r="BL176" s="634"/>
      <c r="BM176" s="634"/>
      <c r="BN176" s="634"/>
      <c r="BO176" s="634"/>
      <c r="BP176" s="634"/>
      <c r="BQ176" s="634"/>
      <c r="BR176" s="634"/>
      <c r="BS176" s="634"/>
      <c r="BT176" s="634"/>
      <c r="BU176" s="634"/>
      <c r="BV176" s="635"/>
      <c r="BW176" s="635"/>
      <c r="BX176" s="635"/>
      <c r="BY176" s="635"/>
      <c r="BZ176" s="635"/>
      <c r="CA176" s="635"/>
      <c r="CB176" s="635"/>
      <c r="CC176" s="635"/>
      <c r="CD176" s="635"/>
      <c r="CE176" s="635"/>
      <c r="CF176" s="1859"/>
    </row>
    <row customHeight="1" ht="15" hidden="1">
      <c r="A177" s="632"/>
      <c r="B177" s="633"/>
      <c r="C177" s="633"/>
      <c r="D177" s="2588"/>
      <c r="E177" s="2386" t="s">
        <v>637</v>
      </c>
      <c r="F177" s="2387"/>
      <c r="G177" s="2388"/>
      <c r="H177" s="2392" t="str">
        <f>IF(A176="","",INDEX(DIFFERENTIATION_UNMERGE_AREA,MATCH(A176,DIFFERENTIATION_ID_DIFF,0)))</f>
        <v>Территория 1</v>
      </c>
      <c r="I177" s="2392"/>
      <c r="J177" s="2392"/>
      <c r="K177" s="2392"/>
      <c r="L177" s="2392"/>
      <c r="M177" s="2392"/>
      <c r="N177" s="2392"/>
      <c r="O177" s="2392"/>
      <c r="P177" s="2392"/>
      <c r="Q177" s="2392"/>
      <c r="R177" s="2392"/>
      <c r="S177" s="728"/>
      <c r="T177" s="725"/>
      <c r="U177" s="634"/>
      <c r="V177" s="634"/>
      <c r="W177" s="635"/>
      <c r="X177" s="635"/>
      <c r="Y177" s="635"/>
      <c r="Z177" s="635"/>
      <c r="AA177" s="636"/>
      <c r="AB177" s="637"/>
      <c r="AC177" s="2384"/>
      <c r="AD177" s="638"/>
      <c r="AE177" s="639"/>
      <c r="AF177" s="639"/>
      <c r="AG177" s="640"/>
      <c r="AH177" s="641"/>
      <c r="AI177" s="634"/>
      <c r="AJ177" s="634"/>
      <c r="AK177" s="634"/>
      <c r="AL177" s="634"/>
      <c r="AM177" s="634"/>
      <c r="AN177" s="634"/>
      <c r="AO177" s="634"/>
      <c r="AP177" s="634"/>
      <c r="AQ177" s="634"/>
      <c r="AR177" s="634"/>
      <c r="AS177" s="634"/>
      <c r="AT177" s="634"/>
      <c r="AU177" s="634"/>
      <c r="AV177" s="634"/>
      <c r="AW177" s="634"/>
      <c r="AX177" s="634"/>
      <c r="AY177" s="634"/>
      <c r="AZ177" s="634"/>
      <c r="BA177" s="634"/>
      <c r="BB177" s="634"/>
      <c r="BC177" s="634"/>
      <c r="BD177" s="634"/>
      <c r="BE177" s="634"/>
      <c r="BF177" s="634"/>
      <c r="BG177" s="634"/>
      <c r="BH177" s="634"/>
      <c r="BI177" s="634"/>
      <c r="BJ177" s="634"/>
      <c r="BK177" s="634"/>
      <c r="BL177" s="634"/>
      <c r="BM177" s="634"/>
      <c r="BN177" s="634"/>
      <c r="BO177" s="634"/>
      <c r="BP177" s="634"/>
      <c r="BQ177" s="634"/>
      <c r="BR177" s="634"/>
      <c r="BS177" s="634"/>
      <c r="BT177" s="634"/>
      <c r="BU177" s="634"/>
      <c r="BV177" s="635"/>
      <c r="BW177" s="635"/>
      <c r="BX177" s="635"/>
      <c r="BY177" s="635"/>
      <c r="BZ177" s="635"/>
      <c r="CA177" s="635"/>
      <c r="CB177" s="635"/>
      <c r="CC177" s="635"/>
      <c r="CD177" s="635"/>
      <c r="CE177" s="635"/>
      <c r="CF177" s="1859"/>
    </row>
    <row customHeight="1" ht="15" hidden="1">
      <c r="A178" s="632"/>
      <c r="B178" s="633"/>
      <c r="C178" s="633"/>
      <c r="D178" s="2588"/>
      <c r="E178" s="2386" t="s">
        <v>638</v>
      </c>
      <c r="F178" s="2387"/>
      <c r="G178" s="2388"/>
      <c r="H178" s="2392" t="str">
        <f>IF(A176="","",INDEX(DIFFERENTIATION_UNMERGE_SYSTEM,MATCH(A176,DIFFERENTIATION_ID_DIFF,0)))</f>
        <v>ЦТП-3, ул.Радиозаводская,ок.д.№6</v>
      </c>
      <c r="I178" s="2392"/>
      <c r="J178" s="2392"/>
      <c r="K178" s="2392"/>
      <c r="L178" s="2392"/>
      <c r="M178" s="2392"/>
      <c r="N178" s="2392"/>
      <c r="O178" s="2392"/>
      <c r="P178" s="2392"/>
      <c r="Q178" s="2392"/>
      <c r="R178" s="2392"/>
      <c r="S178" s="728"/>
      <c r="T178" s="725"/>
      <c r="U178" s="634"/>
      <c r="V178" s="634"/>
      <c r="W178" s="635"/>
      <c r="X178" s="635"/>
      <c r="Y178" s="635"/>
      <c r="Z178" s="635"/>
      <c r="AA178" s="636"/>
      <c r="AB178" s="637"/>
      <c r="AC178" s="2384"/>
      <c r="AD178" s="638"/>
      <c r="AE178" s="639"/>
      <c r="AF178" s="639"/>
      <c r="AG178" s="640"/>
      <c r="AH178" s="641"/>
      <c r="AI178" s="634"/>
      <c r="AJ178" s="634"/>
      <c r="AK178" s="634"/>
      <c r="AL178" s="634"/>
      <c r="AM178" s="634"/>
      <c r="AN178" s="634"/>
      <c r="AO178" s="634"/>
      <c r="AP178" s="634"/>
      <c r="AQ178" s="634"/>
      <c r="AR178" s="634"/>
      <c r="AS178" s="634"/>
      <c r="AT178" s="634"/>
      <c r="AU178" s="634"/>
      <c r="AV178" s="634"/>
      <c r="AW178" s="634"/>
      <c r="AX178" s="634"/>
      <c r="AY178" s="634"/>
      <c r="AZ178" s="634"/>
      <c r="BA178" s="634"/>
      <c r="BB178" s="634"/>
      <c r="BC178" s="634"/>
      <c r="BD178" s="634"/>
      <c r="BE178" s="634"/>
      <c r="BF178" s="634"/>
      <c r="BG178" s="634"/>
      <c r="BH178" s="634"/>
      <c r="BI178" s="634"/>
      <c r="BJ178" s="634"/>
      <c r="BK178" s="634"/>
      <c r="BL178" s="634"/>
      <c r="BM178" s="634"/>
      <c r="BN178" s="634"/>
      <c r="BO178" s="634"/>
      <c r="BP178" s="634"/>
      <c r="BQ178" s="634"/>
      <c r="BR178" s="634"/>
      <c r="BS178" s="634"/>
      <c r="BT178" s="634"/>
      <c r="BU178" s="634"/>
      <c r="BV178" s="635"/>
      <c r="BW178" s="635"/>
      <c r="BX178" s="635"/>
      <c r="BY178" s="635"/>
      <c r="BZ178" s="635"/>
      <c r="CA178" s="635"/>
      <c r="CB178" s="635"/>
      <c r="CC178" s="635"/>
      <c r="CD178" s="635"/>
      <c r="CE178" s="635"/>
      <c r="CF178" s="1859"/>
    </row>
    <row customHeight="1" ht="24.75" hidden="1">
      <c r="A179" s="1815"/>
      <c r="B179" s="1169"/>
      <c r="C179" s="421"/>
      <c r="D179" s="2588"/>
      <c r="E179" s="2385" t="s">
        <v>683</v>
      </c>
      <c r="F179" s="2385"/>
      <c r="G179" s="2385"/>
      <c r="H179" s="2385"/>
      <c r="I179" s="2385"/>
      <c r="J179" s="2385"/>
      <c r="K179" s="2385"/>
      <c r="L179" s="2385"/>
      <c r="M179" s="2385"/>
      <c r="N179" s="2385"/>
      <c r="O179" s="2385"/>
      <c r="P179" s="2385"/>
      <c r="Q179" s="567">
        <f>SUMIF(T180:T181,"i",Q180:Q181)</f>
        <v>0</v>
      </c>
      <c r="R179" s="1026"/>
      <c r="S179" s="1807" t="s">
        <v>684</v>
      </c>
      <c r="T179" s="726" t="s">
        <v>685</v>
      </c>
      <c r="U179" s="2383">
        <v>1</v>
      </c>
      <c r="V179" s="2383" t="s">
        <v>648</v>
      </c>
      <c r="W179" s="1169"/>
      <c r="X179" s="1169"/>
      <c r="Y179" s="1169"/>
      <c r="Z179" s="1169"/>
      <c r="AA179" s="1645"/>
      <c r="AB179" s="1169"/>
      <c r="AC179" s="2384"/>
      <c r="AD179" s="638"/>
      <c r="AE179" s="1169"/>
      <c r="AF179" s="1169"/>
      <c r="AG179" s="1645"/>
      <c r="AH179" s="1645"/>
      <c r="AI179" s="1645"/>
      <c r="AJ179" s="1645"/>
      <c r="AK179" s="1645"/>
      <c r="AL179" s="1645"/>
      <c r="AM179" s="1645"/>
      <c r="AN179" s="1645"/>
      <c r="AO179" s="1645"/>
      <c r="AP179" s="1645"/>
      <c r="AQ179" s="1645"/>
      <c r="AR179" s="1645"/>
      <c r="AS179" s="1645"/>
      <c r="AT179" s="1645"/>
      <c r="AU179" s="1645"/>
      <c r="AV179" s="1645"/>
      <c r="AW179" s="1645"/>
      <c r="AX179" s="1645"/>
      <c r="AY179" s="1645"/>
      <c r="AZ179" s="1645"/>
      <c r="BA179" s="1645"/>
      <c r="BB179" s="1645"/>
      <c r="BC179" s="1645"/>
      <c r="BD179" s="1645"/>
      <c r="BE179" s="1645"/>
      <c r="BF179" s="1645"/>
      <c r="BG179" s="1645"/>
      <c r="BH179" s="1645"/>
      <c r="BI179" s="1645"/>
      <c r="BJ179" s="1645"/>
      <c r="BK179" s="1645"/>
      <c r="BL179" s="1645"/>
      <c r="BM179" s="1645"/>
      <c r="BN179" s="1645"/>
      <c r="BO179" s="1645"/>
      <c r="BP179" s="1645"/>
      <c r="BQ179" s="1645"/>
      <c r="BR179" s="1645"/>
      <c r="BS179" s="1645"/>
      <c r="BT179" s="1645"/>
      <c r="BU179" s="1645"/>
      <c r="BV179" s="1169"/>
      <c r="BW179" s="1169"/>
      <c r="BX179" s="1169"/>
      <c r="BY179" s="1169"/>
      <c r="BZ179" s="1169"/>
      <c r="CA179" s="1169"/>
      <c r="CB179" s="1169"/>
      <c r="CC179" s="1169"/>
      <c r="CD179" s="1169"/>
      <c r="CE179" s="1169"/>
      <c r="CF179" s="1859"/>
    </row>
    <row customHeight="1" ht="11.25" hidden="1">
      <c r="A180" s="1802"/>
      <c r="B180" s="1645"/>
      <c r="C180" s="1645"/>
      <c r="D180" s="2588"/>
      <c r="E180" s="644"/>
      <c r="F180" s="644">
        <v>0</v>
      </c>
      <c r="G180" s="644"/>
      <c r="H180" s="644"/>
      <c r="I180" s="644"/>
      <c r="J180" s="644"/>
      <c r="K180" s="644"/>
      <c r="L180" s="644"/>
      <c r="M180" s="644"/>
      <c r="N180" s="644"/>
      <c r="O180" s="644"/>
      <c r="P180" s="644"/>
      <c r="Q180" s="644"/>
      <c r="R180" s="644"/>
      <c r="S180" s="645"/>
      <c r="T180" s="727"/>
      <c r="U180" s="2383"/>
      <c r="V180" s="2383"/>
      <c r="W180" s="1645"/>
      <c r="X180" s="1645"/>
      <c r="Y180" s="1645"/>
      <c r="Z180" s="1645"/>
      <c r="AA180" s="1645"/>
      <c r="AB180" s="1169"/>
      <c r="AC180" s="2384"/>
      <c r="AD180" s="638"/>
      <c r="AE180" s="1169"/>
      <c r="AF180" s="1169"/>
      <c r="AG180" s="1645"/>
      <c r="AH180" s="1645"/>
      <c r="AI180" s="1645"/>
      <c r="AJ180" s="1645"/>
      <c r="AK180" s="1645"/>
      <c r="AL180" s="1645"/>
      <c r="AM180" s="1645"/>
      <c r="AN180" s="1645"/>
      <c r="AO180" s="1645"/>
      <c r="AP180" s="1645"/>
      <c r="AQ180" s="1645"/>
      <c r="AR180" s="1645"/>
      <c r="AS180" s="1645"/>
      <c r="AT180" s="1645"/>
      <c r="AU180" s="1645"/>
      <c r="AV180" s="1645"/>
      <c r="AW180" s="1645"/>
      <c r="AX180" s="1645"/>
      <c r="AY180" s="1645"/>
      <c r="AZ180" s="1645"/>
      <c r="BA180" s="1645"/>
      <c r="BB180" s="1645"/>
      <c r="BC180" s="1645"/>
      <c r="BD180" s="1645"/>
      <c r="BE180" s="1645"/>
      <c r="BF180" s="1645"/>
      <c r="BG180" s="1645"/>
      <c r="BH180" s="1645"/>
      <c r="BI180" s="1645"/>
      <c r="BJ180" s="1645"/>
      <c r="BK180" s="1645"/>
      <c r="BL180" s="1645"/>
      <c r="BM180" s="1645"/>
      <c r="BN180" s="1645"/>
      <c r="BO180" s="1645"/>
      <c r="BP180" s="1645"/>
      <c r="BQ180" s="1645"/>
      <c r="BR180" s="1645"/>
      <c r="BS180" s="1645"/>
      <c r="BT180" s="1645"/>
      <c r="BU180" s="1645"/>
      <c r="BV180" s="1645"/>
      <c r="BW180" s="1645"/>
      <c r="BX180" s="1645"/>
      <c r="BY180" s="1645"/>
      <c r="BZ180" s="1645"/>
      <c r="CA180" s="1645"/>
      <c r="CB180" s="1645"/>
      <c r="CC180" s="1645"/>
      <c r="CD180" s="1645"/>
      <c r="CE180" s="1645"/>
      <c r="CF180" s="1859"/>
    </row>
    <row customHeight="1" ht="11.25" hidden="1">
      <c r="A181" s="1815"/>
      <c r="B181" s="1169"/>
      <c r="C181" s="421"/>
      <c r="D181" s="2588"/>
      <c r="E181" s="658" t="s">
        <v>22</v>
      </c>
      <c r="F181" s="1177" t="s">
        <v>22</v>
      </c>
      <c r="G181" s="1177" t="s">
        <v>688</v>
      </c>
      <c r="H181" s="660" t="s">
        <v>22</v>
      </c>
      <c r="I181" s="660"/>
      <c r="J181" s="660"/>
      <c r="K181" s="660"/>
      <c r="L181" s="660"/>
      <c r="M181" s="660"/>
      <c r="N181" s="660"/>
      <c r="O181" s="660"/>
      <c r="P181" s="660"/>
      <c r="Q181" s="660"/>
      <c r="R181" s="661"/>
      <c r="S181" s="662"/>
      <c r="T181" s="727"/>
      <c r="U181" s="2383"/>
      <c r="V181" s="2383"/>
      <c r="W181" s="1169"/>
      <c r="X181" s="1169"/>
      <c r="Y181" s="1169"/>
      <c r="Z181" s="1169"/>
      <c r="AA181" s="1645"/>
      <c r="AB181" s="1169"/>
      <c r="AC181" s="2384"/>
      <c r="AD181" s="638"/>
      <c r="AE181" s="1169"/>
      <c r="AF181" s="1169"/>
      <c r="AG181" s="1645"/>
      <c r="AH181" s="1645"/>
      <c r="AI181" s="1645"/>
      <c r="AJ181" s="1645"/>
      <c r="AK181" s="1645"/>
      <c r="AL181" s="1645"/>
      <c r="AM181" s="1645"/>
      <c r="AN181" s="1645"/>
      <c r="AO181" s="1645"/>
      <c r="AP181" s="1645"/>
      <c r="AQ181" s="1645"/>
      <c r="AR181" s="1645"/>
      <c r="AS181" s="1645"/>
      <c r="AT181" s="1645"/>
      <c r="AU181" s="1645"/>
      <c r="AV181" s="1645"/>
      <c r="AW181" s="1645"/>
      <c r="AX181" s="1645"/>
      <c r="AY181" s="1645"/>
      <c r="AZ181" s="1645"/>
      <c r="BA181" s="1645"/>
      <c r="BB181" s="1645"/>
      <c r="BC181" s="1645"/>
      <c r="BD181" s="1645"/>
      <c r="BE181" s="1645"/>
      <c r="BF181" s="1645"/>
      <c r="BG181" s="1645"/>
      <c r="BH181" s="1645"/>
      <c r="BI181" s="1645"/>
      <c r="BJ181" s="1645"/>
      <c r="BK181" s="1645"/>
      <c r="BL181" s="1645"/>
      <c r="BM181" s="1645"/>
      <c r="BN181" s="1645"/>
      <c r="BO181" s="1645"/>
      <c r="BP181" s="1645"/>
      <c r="BQ181" s="1645"/>
      <c r="BR181" s="1645"/>
      <c r="BS181" s="1645"/>
      <c r="BT181" s="1645"/>
      <c r="BU181" s="1645"/>
      <c r="BV181" s="1169"/>
      <c r="BW181" s="1169"/>
      <c r="BX181" s="1169"/>
      <c r="BY181" s="1169"/>
      <c r="BZ181" s="1169"/>
      <c r="CA181" s="1169"/>
      <c r="CB181" s="1169"/>
      <c r="CC181" s="1169"/>
      <c r="CD181" s="1169"/>
      <c r="CE181" s="1169"/>
      <c r="CF181" s="1859"/>
    </row>
    <row customHeight="1" ht="5.25" hidden="1">
      <c r="A182" s="1802"/>
      <c r="B182" s="1645"/>
      <c r="C182" s="1645"/>
      <c r="D182" s="2588"/>
      <c r="E182" s="1048"/>
      <c r="F182" s="1048"/>
      <c r="G182" s="1048"/>
      <c r="H182" s="1048"/>
      <c r="I182" s="1048"/>
      <c r="J182" s="1048"/>
      <c r="K182" s="1048"/>
      <c r="L182" s="1048"/>
      <c r="M182" s="1048"/>
      <c r="N182" s="1048"/>
      <c r="O182" s="1048"/>
      <c r="P182" s="1048"/>
      <c r="Q182" s="1049"/>
      <c r="R182" s="1050"/>
      <c r="S182" s="1051"/>
      <c r="T182" s="726" t="s">
        <v>685</v>
      </c>
      <c r="U182" s="2383">
        <v>1</v>
      </c>
      <c r="V182" s="2383" t="s">
        <v>648</v>
      </c>
      <c r="W182" s="1645"/>
      <c r="X182" s="1645"/>
      <c r="Y182" s="1645"/>
      <c r="Z182" s="1645"/>
      <c r="AA182" s="1645"/>
      <c r="AB182" s="1645"/>
      <c r="AC182" s="1046"/>
      <c r="AD182" s="1047"/>
      <c r="AE182" s="1645"/>
      <c r="AF182" s="1645"/>
      <c r="AG182" s="1645"/>
      <c r="AH182" s="1645"/>
      <c r="AI182" s="1645"/>
      <c r="AJ182" s="1645"/>
      <c r="AK182" s="1645"/>
      <c r="AL182" s="1645"/>
      <c r="AM182" s="1645"/>
      <c r="AN182" s="1645"/>
      <c r="AO182" s="1645"/>
      <c r="AP182" s="1645"/>
      <c r="AQ182" s="1645"/>
      <c r="AR182" s="1645"/>
      <c r="AS182" s="1645"/>
      <c r="AT182" s="1645"/>
      <c r="AU182" s="1645"/>
      <c r="AV182" s="1645"/>
      <c r="AW182" s="1645"/>
      <c r="AX182" s="1645"/>
      <c r="AY182" s="1645"/>
      <c r="AZ182" s="1645"/>
      <c r="BA182" s="1645"/>
      <c r="BB182" s="1645"/>
      <c r="BC182" s="1645"/>
      <c r="BD182" s="1645"/>
      <c r="BE182" s="1645"/>
      <c r="BF182" s="1645"/>
      <c r="BG182" s="1645"/>
      <c r="BH182" s="1645"/>
      <c r="BI182" s="1645"/>
      <c r="BJ182" s="1645"/>
      <c r="BK182" s="1645"/>
      <c r="BL182" s="1645"/>
      <c r="BM182" s="1645"/>
      <c r="BN182" s="1645"/>
      <c r="BO182" s="1645"/>
      <c r="BP182" s="1645"/>
      <c r="BQ182" s="1645"/>
      <c r="BR182" s="1645"/>
      <c r="BS182" s="1645"/>
      <c r="BT182" s="1645"/>
      <c r="BU182" s="1645"/>
      <c r="BV182" s="1645"/>
      <c r="BW182" s="1645"/>
      <c r="BX182" s="1645"/>
      <c r="BY182" s="1645"/>
      <c r="BZ182" s="1645"/>
      <c r="CA182" s="1645"/>
      <c r="CB182" s="1645"/>
      <c r="CC182" s="1645"/>
      <c r="CD182" s="1645"/>
      <c r="CE182" s="1645"/>
      <c r="CF182" s="1325"/>
    </row>
    <row customHeight="1" ht="5.25" hidden="1">
      <c r="A183" s="1802"/>
      <c r="B183" s="1645"/>
      <c r="C183" s="1645"/>
      <c r="D183" s="2588"/>
      <c r="E183" s="644"/>
      <c r="F183" s="644"/>
      <c r="G183" s="644"/>
      <c r="H183" s="644"/>
      <c r="I183" s="644"/>
      <c r="J183" s="644"/>
      <c r="K183" s="644"/>
      <c r="L183" s="644"/>
      <c r="M183" s="644"/>
      <c r="N183" s="644"/>
      <c r="O183" s="644"/>
      <c r="P183" s="644"/>
      <c r="Q183" s="644"/>
      <c r="R183" s="644"/>
      <c r="S183" s="645"/>
      <c r="T183" s="727"/>
      <c r="U183" s="2383"/>
      <c r="V183" s="2383"/>
      <c r="W183" s="1645"/>
      <c r="X183" s="1645"/>
      <c r="Y183" s="1645"/>
      <c r="Z183" s="1645"/>
      <c r="AA183" s="1645"/>
      <c r="AB183" s="1645"/>
      <c r="AC183" s="1046"/>
      <c r="AD183" s="1047"/>
      <c r="AE183" s="1645"/>
      <c r="AF183" s="1645"/>
      <c r="AG183" s="1645"/>
      <c r="AH183" s="1645"/>
      <c r="AI183" s="1645"/>
      <c r="AJ183" s="1645"/>
      <c r="AK183" s="1645"/>
      <c r="AL183" s="1645"/>
      <c r="AM183" s="1645"/>
      <c r="AN183" s="1645"/>
      <c r="AO183" s="1645"/>
      <c r="AP183" s="1645"/>
      <c r="AQ183" s="1645"/>
      <c r="AR183" s="1645"/>
      <c r="AS183" s="1645"/>
      <c r="AT183" s="1645"/>
      <c r="AU183" s="1645"/>
      <c r="AV183" s="1645"/>
      <c r="AW183" s="1645"/>
      <c r="AX183" s="1645"/>
      <c r="AY183" s="1645"/>
      <c r="AZ183" s="1645"/>
      <c r="BA183" s="1645"/>
      <c r="BB183" s="1645"/>
      <c r="BC183" s="1645"/>
      <c r="BD183" s="1645"/>
      <c r="BE183" s="1645"/>
      <c r="BF183" s="1645"/>
      <c r="BG183" s="1645"/>
      <c r="BH183" s="1645"/>
      <c r="BI183" s="1645"/>
      <c r="BJ183" s="1645"/>
      <c r="BK183" s="1645"/>
      <c r="BL183" s="1645"/>
      <c r="BM183" s="1645"/>
      <c r="BN183" s="1645"/>
      <c r="BO183" s="1645"/>
      <c r="BP183" s="1645"/>
      <c r="BQ183" s="1645"/>
      <c r="BR183" s="1645"/>
      <c r="BS183" s="1645"/>
      <c r="BT183" s="1645"/>
      <c r="BU183" s="1645"/>
      <c r="BV183" s="1645"/>
      <c r="BW183" s="1645"/>
      <c r="BX183" s="1645"/>
      <c r="BY183" s="1645"/>
      <c r="BZ183" s="1645"/>
      <c r="CA183" s="1645"/>
      <c r="CB183" s="1645"/>
      <c r="CC183" s="1645"/>
      <c r="CD183" s="1645"/>
      <c r="CE183" s="1645"/>
      <c r="CF183" s="1325"/>
    </row>
    <row customHeight="1" ht="5.25" hidden="1">
      <c r="A184" s="1802"/>
      <c r="B184" s="1645"/>
      <c r="C184" s="1645"/>
      <c r="D184" s="2589"/>
      <c r="E184" s="1052"/>
      <c r="F184" s="1053"/>
      <c r="G184" s="1053"/>
      <c r="H184" s="1054"/>
      <c r="I184" s="1054"/>
      <c r="J184" s="1054"/>
      <c r="K184" s="1054"/>
      <c r="L184" s="1054"/>
      <c r="M184" s="1054"/>
      <c r="N184" s="1054"/>
      <c r="O184" s="1054"/>
      <c r="P184" s="1054"/>
      <c r="Q184" s="1054"/>
      <c r="R184" s="955"/>
      <c r="S184" s="1055"/>
      <c r="T184" s="727"/>
      <c r="U184" s="2383"/>
      <c r="V184" s="2383"/>
      <c r="W184" s="1645"/>
      <c r="X184" s="1645"/>
      <c r="Y184" s="1645"/>
      <c r="Z184" s="1645"/>
      <c r="AA184" s="1645"/>
      <c r="AB184" s="1645"/>
      <c r="AC184" s="1046"/>
      <c r="AD184" s="1047"/>
      <c r="AE184" s="1645"/>
      <c r="AF184" s="1645"/>
      <c r="AG184" s="1645"/>
      <c r="AH184" s="1645"/>
      <c r="AI184" s="1645"/>
      <c r="AJ184" s="1645"/>
      <c r="AK184" s="1645"/>
      <c r="AL184" s="1645"/>
      <c r="AM184" s="1645"/>
      <c r="AN184" s="1645"/>
      <c r="AO184" s="1645"/>
      <c r="AP184" s="1645"/>
      <c r="AQ184" s="1645"/>
      <c r="AR184" s="1645"/>
      <c r="AS184" s="1645"/>
      <c r="AT184" s="1645"/>
      <c r="AU184" s="1645"/>
      <c r="AV184" s="1645"/>
      <c r="AW184" s="1645"/>
      <c r="AX184" s="1645"/>
      <c r="AY184" s="1645"/>
      <c r="AZ184" s="1645"/>
      <c r="BA184" s="1645"/>
      <c r="BB184" s="1645"/>
      <c r="BC184" s="1645"/>
      <c r="BD184" s="1645"/>
      <c r="BE184" s="1645"/>
      <c r="BF184" s="1645"/>
      <c r="BG184" s="1645"/>
      <c r="BH184" s="1645"/>
      <c r="BI184" s="1645"/>
      <c r="BJ184" s="1645"/>
      <c r="BK184" s="1645"/>
      <c r="BL184" s="1645"/>
      <c r="BM184" s="1645"/>
      <c r="BN184" s="1645"/>
      <c r="BO184" s="1645"/>
      <c r="BP184" s="1645"/>
      <c r="BQ184" s="1645"/>
      <c r="BR184" s="1645"/>
      <c r="BS184" s="1645"/>
      <c r="BT184" s="1645"/>
      <c r="BU184" s="1645"/>
      <c r="BV184" s="1645"/>
      <c r="BW184" s="1645"/>
      <c r="BX184" s="1645"/>
      <c r="BY184" s="1645"/>
      <c r="BZ184" s="1645"/>
      <c r="CA184" s="1645"/>
      <c r="CB184" s="1645"/>
      <c r="CC184" s="1645"/>
      <c r="CD184" s="1645"/>
      <c r="CE184" s="1645"/>
      <c r="CF184" s="1325"/>
    </row>
    <row customHeight="1" ht="15" hidden="1">
      <c r="A185" s="632" t="s">
        <v>171</v>
      </c>
      <c r="B185" s="633"/>
      <c r="C185" s="633" t="s">
        <v>22</v>
      </c>
      <c r="D185" s="2587" t="s">
        <v>706</v>
      </c>
      <c r="E185" s="2386" t="s">
        <v>105</v>
      </c>
      <c r="F185" s="2387"/>
      <c r="G185" s="2388"/>
      <c r="H185" s="2392" t="str">
        <f>IF(A185="","",INDEX(DIFFERENTIATION_UNMERGE_VD,MATCH(A185,DIFFERENTIATION_ID_DIFF,0)))</f>
        <v>Производство тепловой энергии. Некомбинированная выработка</v>
      </c>
      <c r="I185" s="2392"/>
      <c r="J185" s="2392"/>
      <c r="K185" s="2392"/>
      <c r="L185" s="2392"/>
      <c r="M185" s="2392"/>
      <c r="N185" s="2392"/>
      <c r="O185" s="2392"/>
      <c r="P185" s="2392"/>
      <c r="Q185" s="2392"/>
      <c r="R185" s="2392"/>
      <c r="S185" s="728"/>
      <c r="T185" s="725"/>
      <c r="U185" s="634"/>
      <c r="V185" s="634"/>
      <c r="W185" s="635"/>
      <c r="X185" s="635"/>
      <c r="Y185" s="635"/>
      <c r="Z185" s="635"/>
      <c r="AA185" s="636"/>
      <c r="AB185" s="637"/>
      <c r="AC185" s="2384"/>
      <c r="AD185" s="638"/>
      <c r="AE185" s="639" t="s">
        <v>22</v>
      </c>
      <c r="AF185" s="639"/>
      <c r="AG185" s="640" t="s">
        <v>682</v>
      </c>
      <c r="AH185" s="641">
        <v>3</v>
      </c>
      <c r="AI185" s="634"/>
      <c r="AJ185" s="634"/>
      <c r="AK185" s="634"/>
      <c r="AL185" s="634"/>
      <c r="AM185" s="634"/>
      <c r="AN185" s="634"/>
      <c r="AO185" s="634"/>
      <c r="AP185" s="634"/>
      <c r="AQ185" s="634"/>
      <c r="AR185" s="634"/>
      <c r="AS185" s="634"/>
      <c r="AT185" s="634"/>
      <c r="AU185" s="634"/>
      <c r="AV185" s="634"/>
      <c r="AW185" s="634"/>
      <c r="AX185" s="634"/>
      <c r="AY185" s="634"/>
      <c r="AZ185" s="634"/>
      <c r="BA185" s="634"/>
      <c r="BB185" s="634"/>
      <c r="BC185" s="634"/>
      <c r="BD185" s="634"/>
      <c r="BE185" s="634"/>
      <c r="BF185" s="634"/>
      <c r="BG185" s="634"/>
      <c r="BH185" s="634"/>
      <c r="BI185" s="634"/>
      <c r="BJ185" s="634"/>
      <c r="BK185" s="634"/>
      <c r="BL185" s="634"/>
      <c r="BM185" s="634"/>
      <c r="BN185" s="634"/>
      <c r="BO185" s="634"/>
      <c r="BP185" s="634"/>
      <c r="BQ185" s="634"/>
      <c r="BR185" s="634"/>
      <c r="BS185" s="634"/>
      <c r="BT185" s="634"/>
      <c r="BU185" s="634"/>
      <c r="BV185" s="635"/>
      <c r="BW185" s="635"/>
      <c r="BX185" s="635"/>
      <c r="BY185" s="635"/>
      <c r="BZ185" s="635"/>
      <c r="CA185" s="635"/>
      <c r="CB185" s="635"/>
      <c r="CC185" s="635"/>
      <c r="CD185" s="635"/>
      <c r="CE185" s="635"/>
      <c r="CF185" s="1859"/>
    </row>
    <row customHeight="1" ht="15" hidden="1">
      <c r="A186" s="632"/>
      <c r="B186" s="633"/>
      <c r="C186" s="633"/>
      <c r="D186" s="2588"/>
      <c r="E186" s="2386" t="s">
        <v>637</v>
      </c>
      <c r="F186" s="2387"/>
      <c r="G186" s="2388"/>
      <c r="H186" s="2392" t="str">
        <f>IF(A185="","",INDEX(DIFFERENTIATION_UNMERGE_AREA,MATCH(A185,DIFFERENTIATION_ID_DIFF,0)))</f>
        <v>Территория 1</v>
      </c>
      <c r="I186" s="2392"/>
      <c r="J186" s="2392"/>
      <c r="K186" s="2392"/>
      <c r="L186" s="2392"/>
      <c r="M186" s="2392"/>
      <c r="N186" s="2392"/>
      <c r="O186" s="2392"/>
      <c r="P186" s="2392"/>
      <c r="Q186" s="2392"/>
      <c r="R186" s="2392"/>
      <c r="S186" s="728"/>
      <c r="T186" s="725"/>
      <c r="U186" s="634"/>
      <c r="V186" s="634"/>
      <c r="W186" s="635"/>
      <c r="X186" s="635"/>
      <c r="Y186" s="635"/>
      <c r="Z186" s="635"/>
      <c r="AA186" s="636"/>
      <c r="AB186" s="637"/>
      <c r="AC186" s="2384"/>
      <c r="AD186" s="638"/>
      <c r="AE186" s="639"/>
      <c r="AF186" s="639"/>
      <c r="AG186" s="640"/>
      <c r="AH186" s="641"/>
      <c r="AI186" s="634"/>
      <c r="AJ186" s="634"/>
      <c r="AK186" s="634"/>
      <c r="AL186" s="634"/>
      <c r="AM186" s="634"/>
      <c r="AN186" s="634"/>
      <c r="AO186" s="634"/>
      <c r="AP186" s="634"/>
      <c r="AQ186" s="634"/>
      <c r="AR186" s="634"/>
      <c r="AS186" s="634"/>
      <c r="AT186" s="634"/>
      <c r="AU186" s="634"/>
      <c r="AV186" s="634"/>
      <c r="AW186" s="634"/>
      <c r="AX186" s="634"/>
      <c r="AY186" s="634"/>
      <c r="AZ186" s="634"/>
      <c r="BA186" s="634"/>
      <c r="BB186" s="634"/>
      <c r="BC186" s="634"/>
      <c r="BD186" s="634"/>
      <c r="BE186" s="634"/>
      <c r="BF186" s="634"/>
      <c r="BG186" s="634"/>
      <c r="BH186" s="634"/>
      <c r="BI186" s="634"/>
      <c r="BJ186" s="634"/>
      <c r="BK186" s="634"/>
      <c r="BL186" s="634"/>
      <c r="BM186" s="634"/>
      <c r="BN186" s="634"/>
      <c r="BO186" s="634"/>
      <c r="BP186" s="634"/>
      <c r="BQ186" s="634"/>
      <c r="BR186" s="634"/>
      <c r="BS186" s="634"/>
      <c r="BT186" s="634"/>
      <c r="BU186" s="634"/>
      <c r="BV186" s="635"/>
      <c r="BW186" s="635"/>
      <c r="BX186" s="635"/>
      <c r="BY186" s="635"/>
      <c r="BZ186" s="635"/>
      <c r="CA186" s="635"/>
      <c r="CB186" s="635"/>
      <c r="CC186" s="635"/>
      <c r="CD186" s="635"/>
      <c r="CE186" s="635"/>
      <c r="CF186" s="1859"/>
    </row>
    <row customHeight="1" ht="15" hidden="1">
      <c r="A187" s="632"/>
      <c r="B187" s="633"/>
      <c r="C187" s="633"/>
      <c r="D187" s="2588"/>
      <c r="E187" s="2386" t="s">
        <v>638</v>
      </c>
      <c r="F187" s="2387"/>
      <c r="G187" s="2388"/>
      <c r="H187" s="2392" t="str">
        <f>IF(A185="","",INDEX(DIFFERENTIATION_UNMERGE_SYSTEM,MATCH(A185,DIFFERENTIATION_ID_DIFF,0)))</f>
        <v>Котельная №17а с.Зольное , ул.Первомайская.</v>
      </c>
      <c r="I187" s="2392"/>
      <c r="J187" s="2392"/>
      <c r="K187" s="2392"/>
      <c r="L187" s="2392"/>
      <c r="M187" s="2392"/>
      <c r="N187" s="2392"/>
      <c r="O187" s="2392"/>
      <c r="P187" s="2392"/>
      <c r="Q187" s="2392"/>
      <c r="R187" s="2392"/>
      <c r="S187" s="728"/>
      <c r="T187" s="725"/>
      <c r="U187" s="634"/>
      <c r="V187" s="634"/>
      <c r="W187" s="635"/>
      <c r="X187" s="635"/>
      <c r="Y187" s="635"/>
      <c r="Z187" s="635"/>
      <c r="AA187" s="636"/>
      <c r="AB187" s="637"/>
      <c r="AC187" s="2384"/>
      <c r="AD187" s="638"/>
      <c r="AE187" s="639"/>
      <c r="AF187" s="639"/>
      <c r="AG187" s="640"/>
      <c r="AH187" s="641"/>
      <c r="AI187" s="634"/>
      <c r="AJ187" s="634"/>
      <c r="AK187" s="634"/>
      <c r="AL187" s="634"/>
      <c r="AM187" s="634"/>
      <c r="AN187" s="634"/>
      <c r="AO187" s="634"/>
      <c r="AP187" s="634"/>
      <c r="AQ187" s="634"/>
      <c r="AR187" s="634"/>
      <c r="AS187" s="634"/>
      <c r="AT187" s="634"/>
      <c r="AU187" s="634"/>
      <c r="AV187" s="634"/>
      <c r="AW187" s="634"/>
      <c r="AX187" s="634"/>
      <c r="AY187" s="634"/>
      <c r="AZ187" s="634"/>
      <c r="BA187" s="634"/>
      <c r="BB187" s="634"/>
      <c r="BC187" s="634"/>
      <c r="BD187" s="634"/>
      <c r="BE187" s="634"/>
      <c r="BF187" s="634"/>
      <c r="BG187" s="634"/>
      <c r="BH187" s="634"/>
      <c r="BI187" s="634"/>
      <c r="BJ187" s="634"/>
      <c r="BK187" s="634"/>
      <c r="BL187" s="634"/>
      <c r="BM187" s="634"/>
      <c r="BN187" s="634"/>
      <c r="BO187" s="634"/>
      <c r="BP187" s="634"/>
      <c r="BQ187" s="634"/>
      <c r="BR187" s="634"/>
      <c r="BS187" s="634"/>
      <c r="BT187" s="634"/>
      <c r="BU187" s="634"/>
      <c r="BV187" s="635"/>
      <c r="BW187" s="635"/>
      <c r="BX187" s="635"/>
      <c r="BY187" s="635"/>
      <c r="BZ187" s="635"/>
      <c r="CA187" s="635"/>
      <c r="CB187" s="635"/>
      <c r="CC187" s="635"/>
      <c r="CD187" s="635"/>
      <c r="CE187" s="635"/>
      <c r="CF187" s="1859"/>
    </row>
    <row customHeight="1" ht="24.75" hidden="1">
      <c r="A188" s="1815"/>
      <c r="B188" s="1169"/>
      <c r="C188" s="421"/>
      <c r="D188" s="2588"/>
      <c r="E188" s="2385" t="s">
        <v>683</v>
      </c>
      <c r="F188" s="2385"/>
      <c r="G188" s="2385"/>
      <c r="H188" s="2385"/>
      <c r="I188" s="2385"/>
      <c r="J188" s="2385"/>
      <c r="K188" s="2385"/>
      <c r="L188" s="2385"/>
      <c r="M188" s="2385"/>
      <c r="N188" s="2385"/>
      <c r="O188" s="2385"/>
      <c r="P188" s="2385"/>
      <c r="Q188" s="567">
        <f>SUMIF(T189:T190,"i",Q189:Q190)</f>
        <v>0</v>
      </c>
      <c r="R188" s="1026"/>
      <c r="S188" s="1807" t="s">
        <v>684</v>
      </c>
      <c r="T188" s="726" t="s">
        <v>685</v>
      </c>
      <c r="U188" s="2383">
        <v>1</v>
      </c>
      <c r="V188" s="2383" t="s">
        <v>648</v>
      </c>
      <c r="W188" s="1169"/>
      <c r="X188" s="1169"/>
      <c r="Y188" s="1169"/>
      <c r="Z188" s="1169"/>
      <c r="AA188" s="1645"/>
      <c r="AB188" s="1169"/>
      <c r="AC188" s="2384"/>
      <c r="AD188" s="638"/>
      <c r="AE188" s="1169"/>
      <c r="AF188" s="1169"/>
      <c r="AG188" s="1645"/>
      <c r="AH188" s="1645"/>
      <c r="AI188" s="1645"/>
      <c r="AJ188" s="1645"/>
      <c r="AK188" s="1645"/>
      <c r="AL188" s="1645"/>
      <c r="AM188" s="1645"/>
      <c r="AN188" s="1645"/>
      <c r="AO188" s="1645"/>
      <c r="AP188" s="1645"/>
      <c r="AQ188" s="1645"/>
      <c r="AR188" s="1645"/>
      <c r="AS188" s="1645"/>
      <c r="AT188" s="1645"/>
      <c r="AU188" s="1645"/>
      <c r="AV188" s="1645"/>
      <c r="AW188" s="1645"/>
      <c r="AX188" s="1645"/>
      <c r="AY188" s="1645"/>
      <c r="AZ188" s="1645"/>
      <c r="BA188" s="1645"/>
      <c r="BB188" s="1645"/>
      <c r="BC188" s="1645"/>
      <c r="BD188" s="1645"/>
      <c r="BE188" s="1645"/>
      <c r="BF188" s="1645"/>
      <c r="BG188" s="1645"/>
      <c r="BH188" s="1645"/>
      <c r="BI188" s="1645"/>
      <c r="BJ188" s="1645"/>
      <c r="BK188" s="1645"/>
      <c r="BL188" s="1645"/>
      <c r="BM188" s="1645"/>
      <c r="BN188" s="1645"/>
      <c r="BO188" s="1645"/>
      <c r="BP188" s="1645"/>
      <c r="BQ188" s="1645"/>
      <c r="BR188" s="1645"/>
      <c r="BS188" s="1645"/>
      <c r="BT188" s="1645"/>
      <c r="BU188" s="1645"/>
      <c r="BV188" s="1169"/>
      <c r="BW188" s="1169"/>
      <c r="BX188" s="1169"/>
      <c r="BY188" s="1169"/>
      <c r="BZ188" s="1169"/>
      <c r="CA188" s="1169"/>
      <c r="CB188" s="1169"/>
      <c r="CC188" s="1169"/>
      <c r="CD188" s="1169"/>
      <c r="CE188" s="1169"/>
      <c r="CF188" s="1859"/>
    </row>
    <row customHeight="1" ht="11.25" hidden="1">
      <c r="A189" s="1802"/>
      <c r="B189" s="1645"/>
      <c r="C189" s="1645"/>
      <c r="D189" s="2588"/>
      <c r="E189" s="644"/>
      <c r="F189" s="644">
        <v>0</v>
      </c>
      <c r="G189" s="644"/>
      <c r="H189" s="644"/>
      <c r="I189" s="644"/>
      <c r="J189" s="644"/>
      <c r="K189" s="644"/>
      <c r="L189" s="644"/>
      <c r="M189" s="644"/>
      <c r="N189" s="644"/>
      <c r="O189" s="644"/>
      <c r="P189" s="644"/>
      <c r="Q189" s="644"/>
      <c r="R189" s="644"/>
      <c r="S189" s="645"/>
      <c r="T189" s="727"/>
      <c r="U189" s="2383"/>
      <c r="V189" s="2383"/>
      <c r="W189" s="1645"/>
      <c r="X189" s="1645"/>
      <c r="Y189" s="1645"/>
      <c r="Z189" s="1645"/>
      <c r="AA189" s="1645"/>
      <c r="AB189" s="1169"/>
      <c r="AC189" s="2384"/>
      <c r="AD189" s="638"/>
      <c r="AE189" s="1169"/>
      <c r="AF189" s="1169"/>
      <c r="AG189" s="1645"/>
      <c r="AH189" s="1645"/>
      <c r="AI189" s="1645"/>
      <c r="AJ189" s="1645"/>
      <c r="AK189" s="1645"/>
      <c r="AL189" s="1645"/>
      <c r="AM189" s="1645"/>
      <c r="AN189" s="1645"/>
      <c r="AO189" s="1645"/>
      <c r="AP189" s="1645"/>
      <c r="AQ189" s="1645"/>
      <c r="AR189" s="1645"/>
      <c r="AS189" s="1645"/>
      <c r="AT189" s="1645"/>
      <c r="AU189" s="1645"/>
      <c r="AV189" s="1645"/>
      <c r="AW189" s="1645"/>
      <c r="AX189" s="1645"/>
      <c r="AY189" s="1645"/>
      <c r="AZ189" s="1645"/>
      <c r="BA189" s="1645"/>
      <c r="BB189" s="1645"/>
      <c r="BC189" s="1645"/>
      <c r="BD189" s="1645"/>
      <c r="BE189" s="1645"/>
      <c r="BF189" s="1645"/>
      <c r="BG189" s="1645"/>
      <c r="BH189" s="1645"/>
      <c r="BI189" s="1645"/>
      <c r="BJ189" s="1645"/>
      <c r="BK189" s="1645"/>
      <c r="BL189" s="1645"/>
      <c r="BM189" s="1645"/>
      <c r="BN189" s="1645"/>
      <c r="BO189" s="1645"/>
      <c r="BP189" s="1645"/>
      <c r="BQ189" s="1645"/>
      <c r="BR189" s="1645"/>
      <c r="BS189" s="1645"/>
      <c r="BT189" s="1645"/>
      <c r="BU189" s="1645"/>
      <c r="BV189" s="1645"/>
      <c r="BW189" s="1645"/>
      <c r="BX189" s="1645"/>
      <c r="BY189" s="1645"/>
      <c r="BZ189" s="1645"/>
      <c r="CA189" s="1645"/>
      <c r="CB189" s="1645"/>
      <c r="CC189" s="1645"/>
      <c r="CD189" s="1645"/>
      <c r="CE189" s="1645"/>
      <c r="CF189" s="1859"/>
    </row>
    <row customHeight="1" ht="11.25" hidden="1">
      <c r="A190" s="1815"/>
      <c r="B190" s="1169"/>
      <c r="C190" s="421"/>
      <c r="D190" s="2588"/>
      <c r="E190" s="658" t="s">
        <v>22</v>
      </c>
      <c r="F190" s="1177" t="s">
        <v>22</v>
      </c>
      <c r="G190" s="1177" t="s">
        <v>688</v>
      </c>
      <c r="H190" s="660" t="s">
        <v>22</v>
      </c>
      <c r="I190" s="660"/>
      <c r="J190" s="660"/>
      <c r="K190" s="660"/>
      <c r="L190" s="660"/>
      <c r="M190" s="660"/>
      <c r="N190" s="660"/>
      <c r="O190" s="660"/>
      <c r="P190" s="660"/>
      <c r="Q190" s="660"/>
      <c r="R190" s="661"/>
      <c r="S190" s="662"/>
      <c r="T190" s="727"/>
      <c r="U190" s="2383"/>
      <c r="V190" s="2383"/>
      <c r="W190" s="1169"/>
      <c r="X190" s="1169"/>
      <c r="Y190" s="1169"/>
      <c r="Z190" s="1169"/>
      <c r="AA190" s="1645"/>
      <c r="AB190" s="1169"/>
      <c r="AC190" s="2384"/>
      <c r="AD190" s="638"/>
      <c r="AE190" s="1169"/>
      <c r="AF190" s="1169"/>
      <c r="AG190" s="1645"/>
      <c r="AH190" s="1645"/>
      <c r="AI190" s="1645"/>
      <c r="AJ190" s="1645"/>
      <c r="AK190" s="1645"/>
      <c r="AL190" s="1645"/>
      <c r="AM190" s="1645"/>
      <c r="AN190" s="1645"/>
      <c r="AO190" s="1645"/>
      <c r="AP190" s="1645"/>
      <c r="AQ190" s="1645"/>
      <c r="AR190" s="1645"/>
      <c r="AS190" s="1645"/>
      <c r="AT190" s="1645"/>
      <c r="AU190" s="1645"/>
      <c r="AV190" s="1645"/>
      <c r="AW190" s="1645"/>
      <c r="AX190" s="1645"/>
      <c r="AY190" s="1645"/>
      <c r="AZ190" s="1645"/>
      <c r="BA190" s="1645"/>
      <c r="BB190" s="1645"/>
      <c r="BC190" s="1645"/>
      <c r="BD190" s="1645"/>
      <c r="BE190" s="1645"/>
      <c r="BF190" s="1645"/>
      <c r="BG190" s="1645"/>
      <c r="BH190" s="1645"/>
      <c r="BI190" s="1645"/>
      <c r="BJ190" s="1645"/>
      <c r="BK190" s="1645"/>
      <c r="BL190" s="1645"/>
      <c r="BM190" s="1645"/>
      <c r="BN190" s="1645"/>
      <c r="BO190" s="1645"/>
      <c r="BP190" s="1645"/>
      <c r="BQ190" s="1645"/>
      <c r="BR190" s="1645"/>
      <c r="BS190" s="1645"/>
      <c r="BT190" s="1645"/>
      <c r="BU190" s="1645"/>
      <c r="BV190" s="1169"/>
      <c r="BW190" s="1169"/>
      <c r="BX190" s="1169"/>
      <c r="BY190" s="1169"/>
      <c r="BZ190" s="1169"/>
      <c r="CA190" s="1169"/>
      <c r="CB190" s="1169"/>
      <c r="CC190" s="1169"/>
      <c r="CD190" s="1169"/>
      <c r="CE190" s="1169"/>
      <c r="CF190" s="1859"/>
    </row>
    <row customHeight="1" ht="5.25" hidden="1">
      <c r="A191" s="1802"/>
      <c r="B191" s="1645"/>
      <c r="C191" s="1645"/>
      <c r="D191" s="2588"/>
      <c r="E191" s="1048"/>
      <c r="F191" s="1048"/>
      <c r="G191" s="1048"/>
      <c r="H191" s="1048"/>
      <c r="I191" s="1048"/>
      <c r="J191" s="1048"/>
      <c r="K191" s="1048"/>
      <c r="L191" s="1048"/>
      <c r="M191" s="1048"/>
      <c r="N191" s="1048"/>
      <c r="O191" s="1048"/>
      <c r="P191" s="1048"/>
      <c r="Q191" s="1049"/>
      <c r="R191" s="1050"/>
      <c r="S191" s="1051"/>
      <c r="T191" s="726" t="s">
        <v>685</v>
      </c>
      <c r="U191" s="2383">
        <v>1</v>
      </c>
      <c r="V191" s="2383" t="s">
        <v>648</v>
      </c>
      <c r="W191" s="1645"/>
      <c r="X191" s="1645"/>
      <c r="Y191" s="1645"/>
      <c r="Z191" s="1645"/>
      <c r="AA191" s="1645"/>
      <c r="AB191" s="1645"/>
      <c r="AC191" s="1046"/>
      <c r="AD191" s="1047"/>
      <c r="AE191" s="1645"/>
      <c r="AF191" s="1645"/>
      <c r="AG191" s="1645"/>
      <c r="AH191" s="1645"/>
      <c r="AI191" s="1645"/>
      <c r="AJ191" s="1645"/>
      <c r="AK191" s="1645"/>
      <c r="AL191" s="1645"/>
      <c r="AM191" s="1645"/>
      <c r="AN191" s="1645"/>
      <c r="AO191" s="1645"/>
      <c r="AP191" s="1645"/>
      <c r="AQ191" s="1645"/>
      <c r="AR191" s="1645"/>
      <c r="AS191" s="1645"/>
      <c r="AT191" s="1645"/>
      <c r="AU191" s="1645"/>
      <c r="AV191" s="1645"/>
      <c r="AW191" s="1645"/>
      <c r="AX191" s="1645"/>
      <c r="AY191" s="1645"/>
      <c r="AZ191" s="1645"/>
      <c r="BA191" s="1645"/>
      <c r="BB191" s="1645"/>
      <c r="BC191" s="1645"/>
      <c r="BD191" s="1645"/>
      <c r="BE191" s="1645"/>
      <c r="BF191" s="1645"/>
      <c r="BG191" s="1645"/>
      <c r="BH191" s="1645"/>
      <c r="BI191" s="1645"/>
      <c r="BJ191" s="1645"/>
      <c r="BK191" s="1645"/>
      <c r="BL191" s="1645"/>
      <c r="BM191" s="1645"/>
      <c r="BN191" s="1645"/>
      <c r="BO191" s="1645"/>
      <c r="BP191" s="1645"/>
      <c r="BQ191" s="1645"/>
      <c r="BR191" s="1645"/>
      <c r="BS191" s="1645"/>
      <c r="BT191" s="1645"/>
      <c r="BU191" s="1645"/>
      <c r="BV191" s="1645"/>
      <c r="BW191" s="1645"/>
      <c r="BX191" s="1645"/>
      <c r="BY191" s="1645"/>
      <c r="BZ191" s="1645"/>
      <c r="CA191" s="1645"/>
      <c r="CB191" s="1645"/>
      <c r="CC191" s="1645"/>
      <c r="CD191" s="1645"/>
      <c r="CE191" s="1645"/>
      <c r="CF191" s="1325"/>
    </row>
    <row customHeight="1" ht="5.25" hidden="1">
      <c r="A192" s="1802"/>
      <c r="B192" s="1645"/>
      <c r="C192" s="1645"/>
      <c r="D192" s="2588"/>
      <c r="E192" s="644"/>
      <c r="F192" s="644"/>
      <c r="G192" s="644"/>
      <c r="H192" s="644"/>
      <c r="I192" s="644"/>
      <c r="J192" s="644"/>
      <c r="K192" s="644"/>
      <c r="L192" s="644"/>
      <c r="M192" s="644"/>
      <c r="N192" s="644"/>
      <c r="O192" s="644"/>
      <c r="P192" s="644"/>
      <c r="Q192" s="644"/>
      <c r="R192" s="644"/>
      <c r="S192" s="645"/>
      <c r="T192" s="727"/>
      <c r="U192" s="2383"/>
      <c r="V192" s="2383"/>
      <c r="W192" s="1645"/>
      <c r="X192" s="1645"/>
      <c r="Y192" s="1645"/>
      <c r="Z192" s="1645"/>
      <c r="AA192" s="1645"/>
      <c r="AB192" s="1645"/>
      <c r="AC192" s="1046"/>
      <c r="AD192" s="1047"/>
      <c r="AE192" s="1645"/>
      <c r="AF192" s="1645"/>
      <c r="AG192" s="1645"/>
      <c r="AH192" s="1645"/>
      <c r="AI192" s="1645"/>
      <c r="AJ192" s="1645"/>
      <c r="AK192" s="1645"/>
      <c r="AL192" s="1645"/>
      <c r="AM192" s="1645"/>
      <c r="AN192" s="1645"/>
      <c r="AO192" s="1645"/>
      <c r="AP192" s="1645"/>
      <c r="AQ192" s="1645"/>
      <c r="AR192" s="1645"/>
      <c r="AS192" s="1645"/>
      <c r="AT192" s="1645"/>
      <c r="AU192" s="1645"/>
      <c r="AV192" s="1645"/>
      <c r="AW192" s="1645"/>
      <c r="AX192" s="1645"/>
      <c r="AY192" s="1645"/>
      <c r="AZ192" s="1645"/>
      <c r="BA192" s="1645"/>
      <c r="BB192" s="1645"/>
      <c r="BC192" s="1645"/>
      <c r="BD192" s="1645"/>
      <c r="BE192" s="1645"/>
      <c r="BF192" s="1645"/>
      <c r="BG192" s="1645"/>
      <c r="BH192" s="1645"/>
      <c r="BI192" s="1645"/>
      <c r="BJ192" s="1645"/>
      <c r="BK192" s="1645"/>
      <c r="BL192" s="1645"/>
      <c r="BM192" s="1645"/>
      <c r="BN192" s="1645"/>
      <c r="BO192" s="1645"/>
      <c r="BP192" s="1645"/>
      <c r="BQ192" s="1645"/>
      <c r="BR192" s="1645"/>
      <c r="BS192" s="1645"/>
      <c r="BT192" s="1645"/>
      <c r="BU192" s="1645"/>
      <c r="BV192" s="1645"/>
      <c r="BW192" s="1645"/>
      <c r="BX192" s="1645"/>
      <c r="BY192" s="1645"/>
      <c r="BZ192" s="1645"/>
      <c r="CA192" s="1645"/>
      <c r="CB192" s="1645"/>
      <c r="CC192" s="1645"/>
      <c r="CD192" s="1645"/>
      <c r="CE192" s="1645"/>
      <c r="CF192" s="1325"/>
    </row>
    <row customHeight="1" ht="5.25" hidden="1">
      <c r="A193" s="1802"/>
      <c r="B193" s="1645"/>
      <c r="C193" s="1645"/>
      <c r="D193" s="2589"/>
      <c r="E193" s="1052"/>
      <c r="F193" s="1053"/>
      <c r="G193" s="1053"/>
      <c r="H193" s="1054"/>
      <c r="I193" s="1054"/>
      <c r="J193" s="1054"/>
      <c r="K193" s="1054"/>
      <c r="L193" s="1054"/>
      <c r="M193" s="1054"/>
      <c r="N193" s="1054"/>
      <c r="O193" s="1054"/>
      <c r="P193" s="1054"/>
      <c r="Q193" s="1054"/>
      <c r="R193" s="955"/>
      <c r="S193" s="1055"/>
      <c r="T193" s="727"/>
      <c r="U193" s="2383"/>
      <c r="V193" s="2383"/>
      <c r="W193" s="1645"/>
      <c r="X193" s="1645"/>
      <c r="Y193" s="1645"/>
      <c r="Z193" s="1645"/>
      <c r="AA193" s="1645"/>
      <c r="AB193" s="1645"/>
      <c r="AC193" s="1046"/>
      <c r="AD193" s="1047"/>
      <c r="AE193" s="1645"/>
      <c r="AF193" s="1645"/>
      <c r="AG193" s="1645"/>
      <c r="AH193" s="1645"/>
      <c r="AI193" s="1645"/>
      <c r="AJ193" s="1645"/>
      <c r="AK193" s="1645"/>
      <c r="AL193" s="1645"/>
      <c r="AM193" s="1645"/>
      <c r="AN193" s="1645"/>
      <c r="AO193" s="1645"/>
      <c r="AP193" s="1645"/>
      <c r="AQ193" s="1645"/>
      <c r="AR193" s="1645"/>
      <c r="AS193" s="1645"/>
      <c r="AT193" s="1645"/>
      <c r="AU193" s="1645"/>
      <c r="AV193" s="1645"/>
      <c r="AW193" s="1645"/>
      <c r="AX193" s="1645"/>
      <c r="AY193" s="1645"/>
      <c r="AZ193" s="1645"/>
      <c r="BA193" s="1645"/>
      <c r="BB193" s="1645"/>
      <c r="BC193" s="1645"/>
      <c r="BD193" s="1645"/>
      <c r="BE193" s="1645"/>
      <c r="BF193" s="1645"/>
      <c r="BG193" s="1645"/>
      <c r="BH193" s="1645"/>
      <c r="BI193" s="1645"/>
      <c r="BJ193" s="1645"/>
      <c r="BK193" s="1645"/>
      <c r="BL193" s="1645"/>
      <c r="BM193" s="1645"/>
      <c r="BN193" s="1645"/>
      <c r="BO193" s="1645"/>
      <c r="BP193" s="1645"/>
      <c r="BQ193" s="1645"/>
      <c r="BR193" s="1645"/>
      <c r="BS193" s="1645"/>
      <c r="BT193" s="1645"/>
      <c r="BU193" s="1645"/>
      <c r="BV193" s="1645"/>
      <c r="BW193" s="1645"/>
      <c r="BX193" s="1645"/>
      <c r="BY193" s="1645"/>
      <c r="BZ193" s="1645"/>
      <c r="CA193" s="1645"/>
      <c r="CB193" s="1645"/>
      <c r="CC193" s="1645"/>
      <c r="CD193" s="1645"/>
      <c r="CE193" s="1645"/>
      <c r="CF193" s="1325"/>
    </row>
    <row customHeight="1" ht="15" hidden="1">
      <c r="A194" s="632" t="s">
        <v>174</v>
      </c>
      <c r="B194" s="633"/>
      <c r="C194" s="633" t="s">
        <v>22</v>
      </c>
      <c r="D194" s="2587" t="s">
        <v>707</v>
      </c>
      <c r="E194" s="2386" t="s">
        <v>105</v>
      </c>
      <c r="F194" s="2387"/>
      <c r="G194" s="2388"/>
      <c r="H194" s="2392" t="str">
        <f>IF(A194="","",INDEX(DIFFERENTIATION_UNMERGE_VD,MATCH(A194,DIFFERENTIATION_ID_DIFF,0)))</f>
        <v>Производство тепловой энергии. Некомбинированная выработка</v>
      </c>
      <c r="I194" s="2392"/>
      <c r="J194" s="2392"/>
      <c r="K194" s="2392"/>
      <c r="L194" s="2392"/>
      <c r="M194" s="2392"/>
      <c r="N194" s="2392"/>
      <c r="O194" s="2392"/>
      <c r="P194" s="2392"/>
      <c r="Q194" s="2392"/>
      <c r="R194" s="2392"/>
      <c r="S194" s="728"/>
      <c r="T194" s="725"/>
      <c r="U194" s="634"/>
      <c r="V194" s="634"/>
      <c r="W194" s="635"/>
      <c r="X194" s="635"/>
      <c r="Y194" s="635"/>
      <c r="Z194" s="635"/>
      <c r="AA194" s="636"/>
      <c r="AB194" s="637"/>
      <c r="AC194" s="2384"/>
      <c r="AD194" s="638"/>
      <c r="AE194" s="639" t="s">
        <v>22</v>
      </c>
      <c r="AF194" s="639"/>
      <c r="AG194" s="640" t="s">
        <v>682</v>
      </c>
      <c r="AH194" s="641">
        <v>3</v>
      </c>
      <c r="AI194" s="634"/>
      <c r="AJ194" s="634"/>
      <c r="AK194" s="634"/>
      <c r="AL194" s="634"/>
      <c r="AM194" s="634"/>
      <c r="AN194" s="634"/>
      <c r="AO194" s="634"/>
      <c r="AP194" s="634"/>
      <c r="AQ194" s="634"/>
      <c r="AR194" s="634"/>
      <c r="AS194" s="634"/>
      <c r="AT194" s="634"/>
      <c r="AU194" s="634"/>
      <c r="AV194" s="634"/>
      <c r="AW194" s="634"/>
      <c r="AX194" s="634"/>
      <c r="AY194" s="634"/>
      <c r="AZ194" s="634"/>
      <c r="BA194" s="634"/>
      <c r="BB194" s="634"/>
      <c r="BC194" s="634"/>
      <c r="BD194" s="634"/>
      <c r="BE194" s="634"/>
      <c r="BF194" s="634"/>
      <c r="BG194" s="634"/>
      <c r="BH194" s="634"/>
      <c r="BI194" s="634"/>
      <c r="BJ194" s="634"/>
      <c r="BK194" s="634"/>
      <c r="BL194" s="634"/>
      <c r="BM194" s="634"/>
      <c r="BN194" s="634"/>
      <c r="BO194" s="634"/>
      <c r="BP194" s="634"/>
      <c r="BQ194" s="634"/>
      <c r="BR194" s="634"/>
      <c r="BS194" s="634"/>
      <c r="BT194" s="634"/>
      <c r="BU194" s="634"/>
      <c r="BV194" s="635"/>
      <c r="BW194" s="635"/>
      <c r="BX194" s="635"/>
      <c r="BY194" s="635"/>
      <c r="BZ194" s="635"/>
      <c r="CA194" s="635"/>
      <c r="CB194" s="635"/>
      <c r="CC194" s="635"/>
      <c r="CD194" s="635"/>
      <c r="CE194" s="635"/>
      <c r="CF194" s="1859"/>
    </row>
    <row customHeight="1" ht="15" hidden="1">
      <c r="A195" s="632"/>
      <c r="B195" s="633"/>
      <c r="C195" s="633"/>
      <c r="D195" s="2588"/>
      <c r="E195" s="2386" t="s">
        <v>637</v>
      </c>
      <c r="F195" s="2387"/>
      <c r="G195" s="2388"/>
      <c r="H195" s="2392" t="str">
        <f>IF(A194="","",INDEX(DIFFERENTIATION_UNMERGE_AREA,MATCH(A194,DIFFERENTIATION_ID_DIFF,0)))</f>
        <v>Территория 1</v>
      </c>
      <c r="I195" s="2392"/>
      <c r="J195" s="2392"/>
      <c r="K195" s="2392"/>
      <c r="L195" s="2392"/>
      <c r="M195" s="2392"/>
      <c r="N195" s="2392"/>
      <c r="O195" s="2392"/>
      <c r="P195" s="2392"/>
      <c r="Q195" s="2392"/>
      <c r="R195" s="2392"/>
      <c r="S195" s="728"/>
      <c r="T195" s="725"/>
      <c r="U195" s="634"/>
      <c r="V195" s="634"/>
      <c r="W195" s="635"/>
      <c r="X195" s="635"/>
      <c r="Y195" s="635"/>
      <c r="Z195" s="635"/>
      <c r="AA195" s="636"/>
      <c r="AB195" s="637"/>
      <c r="AC195" s="2384"/>
      <c r="AD195" s="638"/>
      <c r="AE195" s="639"/>
      <c r="AF195" s="639"/>
      <c r="AG195" s="640"/>
      <c r="AH195" s="641"/>
      <c r="AI195" s="634"/>
      <c r="AJ195" s="634"/>
      <c r="AK195" s="634"/>
      <c r="AL195" s="634"/>
      <c r="AM195" s="634"/>
      <c r="AN195" s="634"/>
      <c r="AO195" s="634"/>
      <c r="AP195" s="634"/>
      <c r="AQ195" s="634"/>
      <c r="AR195" s="634"/>
      <c r="AS195" s="634"/>
      <c r="AT195" s="634"/>
      <c r="AU195" s="634"/>
      <c r="AV195" s="634"/>
      <c r="AW195" s="634"/>
      <c r="AX195" s="634"/>
      <c r="AY195" s="634"/>
      <c r="AZ195" s="634"/>
      <c r="BA195" s="634"/>
      <c r="BB195" s="634"/>
      <c r="BC195" s="634"/>
      <c r="BD195" s="634"/>
      <c r="BE195" s="634"/>
      <c r="BF195" s="634"/>
      <c r="BG195" s="634"/>
      <c r="BH195" s="634"/>
      <c r="BI195" s="634"/>
      <c r="BJ195" s="634"/>
      <c r="BK195" s="634"/>
      <c r="BL195" s="634"/>
      <c r="BM195" s="634"/>
      <c r="BN195" s="634"/>
      <c r="BO195" s="634"/>
      <c r="BP195" s="634"/>
      <c r="BQ195" s="634"/>
      <c r="BR195" s="634"/>
      <c r="BS195" s="634"/>
      <c r="BT195" s="634"/>
      <c r="BU195" s="634"/>
      <c r="BV195" s="635"/>
      <c r="BW195" s="635"/>
      <c r="BX195" s="635"/>
      <c r="BY195" s="635"/>
      <c r="BZ195" s="635"/>
      <c r="CA195" s="635"/>
      <c r="CB195" s="635"/>
      <c r="CC195" s="635"/>
      <c r="CD195" s="635"/>
      <c r="CE195" s="635"/>
      <c r="CF195" s="1859"/>
    </row>
    <row customHeight="1" ht="15" hidden="1">
      <c r="A196" s="632"/>
      <c r="B196" s="633"/>
      <c r="C196" s="633"/>
      <c r="D196" s="2588"/>
      <c r="E196" s="2386" t="s">
        <v>638</v>
      </c>
      <c r="F196" s="2387"/>
      <c r="G196" s="2388"/>
      <c r="H196" s="2392" t="str">
        <f>IF(A194="","",INDEX(DIFFERENTIATION_UNMERGE_SYSTEM,MATCH(A194,DIFFERENTIATION_ID_DIFF,0)))</f>
        <v>Котельная №18А, с.Солнечная Поляна, ул. 4-я Линия</v>
      </c>
      <c r="I196" s="2392"/>
      <c r="J196" s="2392"/>
      <c r="K196" s="2392"/>
      <c r="L196" s="2392"/>
      <c r="M196" s="2392"/>
      <c r="N196" s="2392"/>
      <c r="O196" s="2392"/>
      <c r="P196" s="2392"/>
      <c r="Q196" s="2392"/>
      <c r="R196" s="2392"/>
      <c r="S196" s="728"/>
      <c r="T196" s="725"/>
      <c r="U196" s="634"/>
      <c r="V196" s="634"/>
      <c r="W196" s="635"/>
      <c r="X196" s="635"/>
      <c r="Y196" s="635"/>
      <c r="Z196" s="635"/>
      <c r="AA196" s="636"/>
      <c r="AB196" s="637"/>
      <c r="AC196" s="2384"/>
      <c r="AD196" s="638"/>
      <c r="AE196" s="639"/>
      <c r="AF196" s="639"/>
      <c r="AG196" s="640"/>
      <c r="AH196" s="641"/>
      <c r="AI196" s="634"/>
      <c r="AJ196" s="634"/>
      <c r="AK196" s="634"/>
      <c r="AL196" s="634"/>
      <c r="AM196" s="634"/>
      <c r="AN196" s="634"/>
      <c r="AO196" s="634"/>
      <c r="AP196" s="634"/>
      <c r="AQ196" s="634"/>
      <c r="AR196" s="634"/>
      <c r="AS196" s="634"/>
      <c r="AT196" s="634"/>
      <c r="AU196" s="634"/>
      <c r="AV196" s="634"/>
      <c r="AW196" s="634"/>
      <c r="AX196" s="634"/>
      <c r="AY196" s="634"/>
      <c r="AZ196" s="634"/>
      <c r="BA196" s="634"/>
      <c r="BB196" s="634"/>
      <c r="BC196" s="634"/>
      <c r="BD196" s="634"/>
      <c r="BE196" s="634"/>
      <c r="BF196" s="634"/>
      <c r="BG196" s="634"/>
      <c r="BH196" s="634"/>
      <c r="BI196" s="634"/>
      <c r="BJ196" s="634"/>
      <c r="BK196" s="634"/>
      <c r="BL196" s="634"/>
      <c r="BM196" s="634"/>
      <c r="BN196" s="634"/>
      <c r="BO196" s="634"/>
      <c r="BP196" s="634"/>
      <c r="BQ196" s="634"/>
      <c r="BR196" s="634"/>
      <c r="BS196" s="634"/>
      <c r="BT196" s="634"/>
      <c r="BU196" s="634"/>
      <c r="BV196" s="635"/>
      <c r="BW196" s="635"/>
      <c r="BX196" s="635"/>
      <c r="BY196" s="635"/>
      <c r="BZ196" s="635"/>
      <c r="CA196" s="635"/>
      <c r="CB196" s="635"/>
      <c r="CC196" s="635"/>
      <c r="CD196" s="635"/>
      <c r="CE196" s="635"/>
      <c r="CF196" s="1859"/>
    </row>
    <row customHeight="1" ht="24.75" hidden="1">
      <c r="A197" s="1815"/>
      <c r="B197" s="1169"/>
      <c r="C197" s="421"/>
      <c r="D197" s="2588"/>
      <c r="E197" s="2385" t="s">
        <v>683</v>
      </c>
      <c r="F197" s="2385"/>
      <c r="G197" s="2385"/>
      <c r="H197" s="2385"/>
      <c r="I197" s="2385"/>
      <c r="J197" s="2385"/>
      <c r="K197" s="2385"/>
      <c r="L197" s="2385"/>
      <c r="M197" s="2385"/>
      <c r="N197" s="2385"/>
      <c r="O197" s="2385"/>
      <c r="P197" s="2385"/>
      <c r="Q197" s="567">
        <f>SUMIF(T198:T199,"i",Q198:Q199)</f>
        <v>0</v>
      </c>
      <c r="R197" s="1026"/>
      <c r="S197" s="1807" t="s">
        <v>684</v>
      </c>
      <c r="T197" s="726" t="s">
        <v>685</v>
      </c>
      <c r="U197" s="2383">
        <v>1</v>
      </c>
      <c r="V197" s="2383" t="s">
        <v>648</v>
      </c>
      <c r="W197" s="1169"/>
      <c r="X197" s="1169"/>
      <c r="Y197" s="1169"/>
      <c r="Z197" s="1169"/>
      <c r="AA197" s="1645"/>
      <c r="AB197" s="1169"/>
      <c r="AC197" s="2384"/>
      <c r="AD197" s="638"/>
      <c r="AE197" s="1169"/>
      <c r="AF197" s="1169"/>
      <c r="AG197" s="1645"/>
      <c r="AH197" s="1645"/>
      <c r="AI197" s="1645"/>
      <c r="AJ197" s="1645"/>
      <c r="AK197" s="1645"/>
      <c r="AL197" s="1645"/>
      <c r="AM197" s="1645"/>
      <c r="AN197" s="1645"/>
      <c r="AO197" s="1645"/>
      <c r="AP197" s="1645"/>
      <c r="AQ197" s="1645"/>
      <c r="AR197" s="1645"/>
      <c r="AS197" s="1645"/>
      <c r="AT197" s="1645"/>
      <c r="AU197" s="1645"/>
      <c r="AV197" s="1645"/>
      <c r="AW197" s="1645"/>
      <c r="AX197" s="1645"/>
      <c r="AY197" s="1645"/>
      <c r="AZ197" s="1645"/>
      <c r="BA197" s="1645"/>
      <c r="BB197" s="1645"/>
      <c r="BC197" s="1645"/>
      <c r="BD197" s="1645"/>
      <c r="BE197" s="1645"/>
      <c r="BF197" s="1645"/>
      <c r="BG197" s="1645"/>
      <c r="BH197" s="1645"/>
      <c r="BI197" s="1645"/>
      <c r="BJ197" s="1645"/>
      <c r="BK197" s="1645"/>
      <c r="BL197" s="1645"/>
      <c r="BM197" s="1645"/>
      <c r="BN197" s="1645"/>
      <c r="BO197" s="1645"/>
      <c r="BP197" s="1645"/>
      <c r="BQ197" s="1645"/>
      <c r="BR197" s="1645"/>
      <c r="BS197" s="1645"/>
      <c r="BT197" s="1645"/>
      <c r="BU197" s="1645"/>
      <c r="BV197" s="1169"/>
      <c r="BW197" s="1169"/>
      <c r="BX197" s="1169"/>
      <c r="BY197" s="1169"/>
      <c r="BZ197" s="1169"/>
      <c r="CA197" s="1169"/>
      <c r="CB197" s="1169"/>
      <c r="CC197" s="1169"/>
      <c r="CD197" s="1169"/>
      <c r="CE197" s="1169"/>
      <c r="CF197" s="1859"/>
    </row>
    <row customHeight="1" ht="11.25" hidden="1">
      <c r="A198" s="1802"/>
      <c r="B198" s="1645"/>
      <c r="C198" s="1645"/>
      <c r="D198" s="2588"/>
      <c r="E198" s="644"/>
      <c r="F198" s="644">
        <v>0</v>
      </c>
      <c r="G198" s="644"/>
      <c r="H198" s="644"/>
      <c r="I198" s="644"/>
      <c r="J198" s="644"/>
      <c r="K198" s="644"/>
      <c r="L198" s="644"/>
      <c r="M198" s="644"/>
      <c r="N198" s="644"/>
      <c r="O198" s="644"/>
      <c r="P198" s="644"/>
      <c r="Q198" s="644"/>
      <c r="R198" s="644"/>
      <c r="S198" s="645"/>
      <c r="T198" s="727"/>
      <c r="U198" s="2383"/>
      <c r="V198" s="2383"/>
      <c r="W198" s="1645"/>
      <c r="X198" s="1645"/>
      <c r="Y198" s="1645"/>
      <c r="Z198" s="1645"/>
      <c r="AA198" s="1645"/>
      <c r="AB198" s="1169"/>
      <c r="AC198" s="2384"/>
      <c r="AD198" s="638"/>
      <c r="AE198" s="1169"/>
      <c r="AF198" s="1169"/>
      <c r="AG198" s="1645"/>
      <c r="AH198" s="1645"/>
      <c r="AI198" s="1645"/>
      <c r="AJ198" s="1645"/>
      <c r="AK198" s="1645"/>
      <c r="AL198" s="1645"/>
      <c r="AM198" s="1645"/>
      <c r="AN198" s="1645"/>
      <c r="AO198" s="1645"/>
      <c r="AP198" s="1645"/>
      <c r="AQ198" s="1645"/>
      <c r="AR198" s="1645"/>
      <c r="AS198" s="1645"/>
      <c r="AT198" s="1645"/>
      <c r="AU198" s="1645"/>
      <c r="AV198" s="1645"/>
      <c r="AW198" s="1645"/>
      <c r="AX198" s="1645"/>
      <c r="AY198" s="1645"/>
      <c r="AZ198" s="1645"/>
      <c r="BA198" s="1645"/>
      <c r="BB198" s="1645"/>
      <c r="BC198" s="1645"/>
      <c r="BD198" s="1645"/>
      <c r="BE198" s="1645"/>
      <c r="BF198" s="1645"/>
      <c r="BG198" s="1645"/>
      <c r="BH198" s="1645"/>
      <c r="BI198" s="1645"/>
      <c r="BJ198" s="1645"/>
      <c r="BK198" s="1645"/>
      <c r="BL198" s="1645"/>
      <c r="BM198" s="1645"/>
      <c r="BN198" s="1645"/>
      <c r="BO198" s="1645"/>
      <c r="BP198" s="1645"/>
      <c r="BQ198" s="1645"/>
      <c r="BR198" s="1645"/>
      <c r="BS198" s="1645"/>
      <c r="BT198" s="1645"/>
      <c r="BU198" s="1645"/>
      <c r="BV198" s="1645"/>
      <c r="BW198" s="1645"/>
      <c r="BX198" s="1645"/>
      <c r="BY198" s="1645"/>
      <c r="BZ198" s="1645"/>
      <c r="CA198" s="1645"/>
      <c r="CB198" s="1645"/>
      <c r="CC198" s="1645"/>
      <c r="CD198" s="1645"/>
      <c r="CE198" s="1645"/>
      <c r="CF198" s="1859"/>
    </row>
    <row customHeight="1" ht="11.25" hidden="1">
      <c r="A199" s="1815"/>
      <c r="B199" s="1169"/>
      <c r="C199" s="421"/>
      <c r="D199" s="2588"/>
      <c r="E199" s="658" t="s">
        <v>22</v>
      </c>
      <c r="F199" s="1177" t="s">
        <v>22</v>
      </c>
      <c r="G199" s="1177" t="s">
        <v>688</v>
      </c>
      <c r="H199" s="660" t="s">
        <v>22</v>
      </c>
      <c r="I199" s="660"/>
      <c r="J199" s="660"/>
      <c r="K199" s="660"/>
      <c r="L199" s="660"/>
      <c r="M199" s="660"/>
      <c r="N199" s="660"/>
      <c r="O199" s="660"/>
      <c r="P199" s="660"/>
      <c r="Q199" s="660"/>
      <c r="R199" s="661"/>
      <c r="S199" s="662"/>
      <c r="T199" s="727"/>
      <c r="U199" s="2383"/>
      <c r="V199" s="2383"/>
      <c r="W199" s="1169"/>
      <c r="X199" s="1169"/>
      <c r="Y199" s="1169"/>
      <c r="Z199" s="1169"/>
      <c r="AA199" s="1645"/>
      <c r="AB199" s="1169"/>
      <c r="AC199" s="2384"/>
      <c r="AD199" s="638"/>
      <c r="AE199" s="1169"/>
      <c r="AF199" s="1169"/>
      <c r="AG199" s="1645"/>
      <c r="AH199" s="1645"/>
      <c r="AI199" s="1645"/>
      <c r="AJ199" s="1645"/>
      <c r="AK199" s="1645"/>
      <c r="AL199" s="1645"/>
      <c r="AM199" s="1645"/>
      <c r="AN199" s="1645"/>
      <c r="AO199" s="1645"/>
      <c r="AP199" s="1645"/>
      <c r="AQ199" s="1645"/>
      <c r="AR199" s="1645"/>
      <c r="AS199" s="1645"/>
      <c r="AT199" s="1645"/>
      <c r="AU199" s="1645"/>
      <c r="AV199" s="1645"/>
      <c r="AW199" s="1645"/>
      <c r="AX199" s="1645"/>
      <c r="AY199" s="1645"/>
      <c r="AZ199" s="1645"/>
      <c r="BA199" s="1645"/>
      <c r="BB199" s="1645"/>
      <c r="BC199" s="1645"/>
      <c r="BD199" s="1645"/>
      <c r="BE199" s="1645"/>
      <c r="BF199" s="1645"/>
      <c r="BG199" s="1645"/>
      <c r="BH199" s="1645"/>
      <c r="BI199" s="1645"/>
      <c r="BJ199" s="1645"/>
      <c r="BK199" s="1645"/>
      <c r="BL199" s="1645"/>
      <c r="BM199" s="1645"/>
      <c r="BN199" s="1645"/>
      <c r="BO199" s="1645"/>
      <c r="BP199" s="1645"/>
      <c r="BQ199" s="1645"/>
      <c r="BR199" s="1645"/>
      <c r="BS199" s="1645"/>
      <c r="BT199" s="1645"/>
      <c r="BU199" s="1645"/>
      <c r="BV199" s="1169"/>
      <c r="BW199" s="1169"/>
      <c r="BX199" s="1169"/>
      <c r="BY199" s="1169"/>
      <c r="BZ199" s="1169"/>
      <c r="CA199" s="1169"/>
      <c r="CB199" s="1169"/>
      <c r="CC199" s="1169"/>
      <c r="CD199" s="1169"/>
      <c r="CE199" s="1169"/>
      <c r="CF199" s="1859"/>
    </row>
    <row customHeight="1" ht="5.25" hidden="1">
      <c r="A200" s="1802"/>
      <c r="B200" s="1645"/>
      <c r="C200" s="1645"/>
      <c r="D200" s="2588"/>
      <c r="E200" s="1048"/>
      <c r="F200" s="1048"/>
      <c r="G200" s="1048"/>
      <c r="H200" s="1048"/>
      <c r="I200" s="1048"/>
      <c r="J200" s="1048"/>
      <c r="K200" s="1048"/>
      <c r="L200" s="1048"/>
      <c r="M200" s="1048"/>
      <c r="N200" s="1048"/>
      <c r="O200" s="1048"/>
      <c r="P200" s="1048"/>
      <c r="Q200" s="1049"/>
      <c r="R200" s="1050"/>
      <c r="S200" s="1051"/>
      <c r="T200" s="726" t="s">
        <v>685</v>
      </c>
      <c r="U200" s="2383">
        <v>1</v>
      </c>
      <c r="V200" s="2383" t="s">
        <v>648</v>
      </c>
      <c r="W200" s="1645"/>
      <c r="X200" s="1645"/>
      <c r="Y200" s="1645"/>
      <c r="Z200" s="1645"/>
      <c r="AA200" s="1645"/>
      <c r="AB200" s="1645"/>
      <c r="AC200" s="1046"/>
      <c r="AD200" s="1047"/>
      <c r="AE200" s="1645"/>
      <c r="AF200" s="1645"/>
      <c r="AG200" s="1645"/>
      <c r="AH200" s="1645"/>
      <c r="AI200" s="1645"/>
      <c r="AJ200" s="1645"/>
      <c r="AK200" s="1645"/>
      <c r="AL200" s="1645"/>
      <c r="AM200" s="1645"/>
      <c r="AN200" s="1645"/>
      <c r="AO200" s="1645"/>
      <c r="AP200" s="1645"/>
      <c r="AQ200" s="1645"/>
      <c r="AR200" s="1645"/>
      <c r="AS200" s="1645"/>
      <c r="AT200" s="1645"/>
      <c r="AU200" s="1645"/>
      <c r="AV200" s="1645"/>
      <c r="AW200" s="1645"/>
      <c r="AX200" s="1645"/>
      <c r="AY200" s="1645"/>
      <c r="AZ200" s="1645"/>
      <c r="BA200" s="1645"/>
      <c r="BB200" s="1645"/>
      <c r="BC200" s="1645"/>
      <c r="BD200" s="1645"/>
      <c r="BE200" s="1645"/>
      <c r="BF200" s="1645"/>
      <c r="BG200" s="1645"/>
      <c r="BH200" s="1645"/>
      <c r="BI200" s="1645"/>
      <c r="BJ200" s="1645"/>
      <c r="BK200" s="1645"/>
      <c r="BL200" s="1645"/>
      <c r="BM200" s="1645"/>
      <c r="BN200" s="1645"/>
      <c r="BO200" s="1645"/>
      <c r="BP200" s="1645"/>
      <c r="BQ200" s="1645"/>
      <c r="BR200" s="1645"/>
      <c r="BS200" s="1645"/>
      <c r="BT200" s="1645"/>
      <c r="BU200" s="1645"/>
      <c r="BV200" s="1645"/>
      <c r="BW200" s="1645"/>
      <c r="BX200" s="1645"/>
      <c r="BY200" s="1645"/>
      <c r="BZ200" s="1645"/>
      <c r="CA200" s="1645"/>
      <c r="CB200" s="1645"/>
      <c r="CC200" s="1645"/>
      <c r="CD200" s="1645"/>
      <c r="CE200" s="1645"/>
      <c r="CF200" s="1325"/>
    </row>
    <row customHeight="1" ht="5.25" hidden="1">
      <c r="A201" s="1802"/>
      <c r="B201" s="1645"/>
      <c r="C201" s="1645"/>
      <c r="D201" s="2588"/>
      <c r="E201" s="644"/>
      <c r="F201" s="644"/>
      <c r="G201" s="644"/>
      <c r="H201" s="644"/>
      <c r="I201" s="644"/>
      <c r="J201" s="644"/>
      <c r="K201" s="644"/>
      <c r="L201" s="644"/>
      <c r="M201" s="644"/>
      <c r="N201" s="644"/>
      <c r="O201" s="644"/>
      <c r="P201" s="644"/>
      <c r="Q201" s="644"/>
      <c r="R201" s="644"/>
      <c r="S201" s="645"/>
      <c r="T201" s="727"/>
      <c r="U201" s="2383"/>
      <c r="V201" s="2383"/>
      <c r="W201" s="1645"/>
      <c r="X201" s="1645"/>
      <c r="Y201" s="1645"/>
      <c r="Z201" s="1645"/>
      <c r="AA201" s="1645"/>
      <c r="AB201" s="1645"/>
      <c r="AC201" s="1046"/>
      <c r="AD201" s="1047"/>
      <c r="AE201" s="1645"/>
      <c r="AF201" s="1645"/>
      <c r="AG201" s="1645"/>
      <c r="AH201" s="1645"/>
      <c r="AI201" s="1645"/>
      <c r="AJ201" s="1645"/>
      <c r="AK201" s="1645"/>
      <c r="AL201" s="1645"/>
      <c r="AM201" s="1645"/>
      <c r="AN201" s="1645"/>
      <c r="AO201" s="1645"/>
      <c r="AP201" s="1645"/>
      <c r="AQ201" s="1645"/>
      <c r="AR201" s="1645"/>
      <c r="AS201" s="1645"/>
      <c r="AT201" s="1645"/>
      <c r="AU201" s="1645"/>
      <c r="AV201" s="1645"/>
      <c r="AW201" s="1645"/>
      <c r="AX201" s="1645"/>
      <c r="AY201" s="1645"/>
      <c r="AZ201" s="1645"/>
      <c r="BA201" s="1645"/>
      <c r="BB201" s="1645"/>
      <c r="BC201" s="1645"/>
      <c r="BD201" s="1645"/>
      <c r="BE201" s="1645"/>
      <c r="BF201" s="1645"/>
      <c r="BG201" s="1645"/>
      <c r="BH201" s="1645"/>
      <c r="BI201" s="1645"/>
      <c r="BJ201" s="1645"/>
      <c r="BK201" s="1645"/>
      <c r="BL201" s="1645"/>
      <c r="BM201" s="1645"/>
      <c r="BN201" s="1645"/>
      <c r="BO201" s="1645"/>
      <c r="BP201" s="1645"/>
      <c r="BQ201" s="1645"/>
      <c r="BR201" s="1645"/>
      <c r="BS201" s="1645"/>
      <c r="BT201" s="1645"/>
      <c r="BU201" s="1645"/>
      <c r="BV201" s="1645"/>
      <c r="BW201" s="1645"/>
      <c r="BX201" s="1645"/>
      <c r="BY201" s="1645"/>
      <c r="BZ201" s="1645"/>
      <c r="CA201" s="1645"/>
      <c r="CB201" s="1645"/>
      <c r="CC201" s="1645"/>
      <c r="CD201" s="1645"/>
      <c r="CE201" s="1645"/>
      <c r="CF201" s="1325"/>
    </row>
    <row customHeight="1" ht="5.25" hidden="1">
      <c r="A202" s="1802"/>
      <c r="B202" s="1645"/>
      <c r="C202" s="1645"/>
      <c r="D202" s="2589"/>
      <c r="E202" s="1052"/>
      <c r="F202" s="1053"/>
      <c r="G202" s="1053"/>
      <c r="H202" s="1054"/>
      <c r="I202" s="1054"/>
      <c r="J202" s="1054"/>
      <c r="K202" s="1054"/>
      <c r="L202" s="1054"/>
      <c r="M202" s="1054"/>
      <c r="N202" s="1054"/>
      <c r="O202" s="1054"/>
      <c r="P202" s="1054"/>
      <c r="Q202" s="1054"/>
      <c r="R202" s="955"/>
      <c r="S202" s="1055"/>
      <c r="T202" s="727"/>
      <c r="U202" s="2383"/>
      <c r="V202" s="2383"/>
      <c r="W202" s="1645"/>
      <c r="X202" s="1645"/>
      <c r="Y202" s="1645"/>
      <c r="Z202" s="1645"/>
      <c r="AA202" s="1645"/>
      <c r="AB202" s="1645"/>
      <c r="AC202" s="1046"/>
      <c r="AD202" s="1047"/>
      <c r="AE202" s="1645"/>
      <c r="AF202" s="1645"/>
      <c r="AG202" s="1645"/>
      <c r="AH202" s="1645"/>
      <c r="AI202" s="1645"/>
      <c r="AJ202" s="1645"/>
      <c r="AK202" s="1645"/>
      <c r="AL202" s="1645"/>
      <c r="AM202" s="1645"/>
      <c r="AN202" s="1645"/>
      <c r="AO202" s="1645"/>
      <c r="AP202" s="1645"/>
      <c r="AQ202" s="1645"/>
      <c r="AR202" s="1645"/>
      <c r="AS202" s="1645"/>
      <c r="AT202" s="1645"/>
      <c r="AU202" s="1645"/>
      <c r="AV202" s="1645"/>
      <c r="AW202" s="1645"/>
      <c r="AX202" s="1645"/>
      <c r="AY202" s="1645"/>
      <c r="AZ202" s="1645"/>
      <c r="BA202" s="1645"/>
      <c r="BB202" s="1645"/>
      <c r="BC202" s="1645"/>
      <c r="BD202" s="1645"/>
      <c r="BE202" s="1645"/>
      <c r="BF202" s="1645"/>
      <c r="BG202" s="1645"/>
      <c r="BH202" s="1645"/>
      <c r="BI202" s="1645"/>
      <c r="BJ202" s="1645"/>
      <c r="BK202" s="1645"/>
      <c r="BL202" s="1645"/>
      <c r="BM202" s="1645"/>
      <c r="BN202" s="1645"/>
      <c r="BO202" s="1645"/>
      <c r="BP202" s="1645"/>
      <c r="BQ202" s="1645"/>
      <c r="BR202" s="1645"/>
      <c r="BS202" s="1645"/>
      <c r="BT202" s="1645"/>
      <c r="BU202" s="1645"/>
      <c r="BV202" s="1645"/>
      <c r="BW202" s="1645"/>
      <c r="BX202" s="1645"/>
      <c r="BY202" s="1645"/>
      <c r="BZ202" s="1645"/>
      <c r="CA202" s="1645"/>
      <c r="CB202" s="1645"/>
      <c r="CC202" s="1645"/>
      <c r="CD202" s="1645"/>
      <c r="CE202" s="1645"/>
      <c r="CF202" s="1325"/>
    </row>
    <row customHeight="1" ht="15" hidden="1">
      <c r="A203" s="632" t="s">
        <v>177</v>
      </c>
      <c r="B203" s="633"/>
      <c r="C203" s="633" t="s">
        <v>22</v>
      </c>
      <c r="D203" s="2587" t="s">
        <v>708</v>
      </c>
      <c r="E203" s="2386" t="s">
        <v>105</v>
      </c>
      <c r="F203" s="2387"/>
      <c r="G203" s="2388"/>
      <c r="H203" s="2392" t="str">
        <f>IF(A203="","",INDEX(DIFFERENTIATION_UNMERGE_VD,MATCH(A203,DIFFERENTIATION_ID_DIFF,0)))</f>
        <v>Производство тепловой энергии. Некомбинированная выработка</v>
      </c>
      <c r="I203" s="2392"/>
      <c r="J203" s="2392"/>
      <c r="K203" s="2392"/>
      <c r="L203" s="2392"/>
      <c r="M203" s="2392"/>
      <c r="N203" s="2392"/>
      <c r="O203" s="2392"/>
      <c r="P203" s="2392"/>
      <c r="Q203" s="2392"/>
      <c r="R203" s="2392"/>
      <c r="S203" s="728"/>
      <c r="T203" s="725"/>
      <c r="U203" s="634"/>
      <c r="V203" s="634"/>
      <c r="W203" s="635"/>
      <c r="X203" s="635"/>
      <c r="Y203" s="635"/>
      <c r="Z203" s="635"/>
      <c r="AA203" s="636"/>
      <c r="AB203" s="637"/>
      <c r="AC203" s="2384"/>
      <c r="AD203" s="638"/>
      <c r="AE203" s="639" t="s">
        <v>22</v>
      </c>
      <c r="AF203" s="639"/>
      <c r="AG203" s="640" t="s">
        <v>682</v>
      </c>
      <c r="AH203" s="641">
        <v>3</v>
      </c>
      <c r="AI203" s="634"/>
      <c r="AJ203" s="634"/>
      <c r="AK203" s="634"/>
      <c r="AL203" s="634"/>
      <c r="AM203" s="634"/>
      <c r="AN203" s="634"/>
      <c r="AO203" s="634"/>
      <c r="AP203" s="634"/>
      <c r="AQ203" s="634"/>
      <c r="AR203" s="634"/>
      <c r="AS203" s="634"/>
      <c r="AT203" s="634"/>
      <c r="AU203" s="634"/>
      <c r="AV203" s="634"/>
      <c r="AW203" s="634"/>
      <c r="AX203" s="634"/>
      <c r="AY203" s="634"/>
      <c r="AZ203" s="634"/>
      <c r="BA203" s="634"/>
      <c r="BB203" s="634"/>
      <c r="BC203" s="634"/>
      <c r="BD203" s="634"/>
      <c r="BE203" s="634"/>
      <c r="BF203" s="634"/>
      <c r="BG203" s="634"/>
      <c r="BH203" s="634"/>
      <c r="BI203" s="634"/>
      <c r="BJ203" s="634"/>
      <c r="BK203" s="634"/>
      <c r="BL203" s="634"/>
      <c r="BM203" s="634"/>
      <c r="BN203" s="634"/>
      <c r="BO203" s="634"/>
      <c r="BP203" s="634"/>
      <c r="BQ203" s="634"/>
      <c r="BR203" s="634"/>
      <c r="BS203" s="634"/>
      <c r="BT203" s="634"/>
      <c r="BU203" s="634"/>
      <c r="BV203" s="635"/>
      <c r="BW203" s="635"/>
      <c r="BX203" s="635"/>
      <c r="BY203" s="635"/>
      <c r="BZ203" s="635"/>
      <c r="CA203" s="635"/>
      <c r="CB203" s="635"/>
      <c r="CC203" s="635"/>
      <c r="CD203" s="635"/>
      <c r="CE203" s="635"/>
      <c r="CF203" s="1859"/>
    </row>
    <row customHeight="1" ht="15" hidden="1">
      <c r="A204" s="632"/>
      <c r="B204" s="633"/>
      <c r="C204" s="633"/>
      <c r="D204" s="2588"/>
      <c r="E204" s="2386" t="s">
        <v>637</v>
      </c>
      <c r="F204" s="2387"/>
      <c r="G204" s="2388"/>
      <c r="H204" s="2392" t="str">
        <f>IF(A203="","",INDEX(DIFFERENTIATION_UNMERGE_AREA,MATCH(A203,DIFFERENTIATION_ID_DIFF,0)))</f>
        <v>Территория 1</v>
      </c>
      <c r="I204" s="2392"/>
      <c r="J204" s="2392"/>
      <c r="K204" s="2392"/>
      <c r="L204" s="2392"/>
      <c r="M204" s="2392"/>
      <c r="N204" s="2392"/>
      <c r="O204" s="2392"/>
      <c r="P204" s="2392"/>
      <c r="Q204" s="2392"/>
      <c r="R204" s="2392"/>
      <c r="S204" s="728"/>
      <c r="T204" s="725"/>
      <c r="U204" s="634"/>
      <c r="V204" s="634"/>
      <c r="W204" s="635"/>
      <c r="X204" s="635"/>
      <c r="Y204" s="635"/>
      <c r="Z204" s="635"/>
      <c r="AA204" s="636"/>
      <c r="AB204" s="637"/>
      <c r="AC204" s="2384"/>
      <c r="AD204" s="638"/>
      <c r="AE204" s="639"/>
      <c r="AF204" s="639"/>
      <c r="AG204" s="640"/>
      <c r="AH204" s="641"/>
      <c r="AI204" s="634"/>
      <c r="AJ204" s="634"/>
      <c r="AK204" s="634"/>
      <c r="AL204" s="634"/>
      <c r="AM204" s="634"/>
      <c r="AN204" s="634"/>
      <c r="AO204" s="634"/>
      <c r="AP204" s="634"/>
      <c r="AQ204" s="634"/>
      <c r="AR204" s="634"/>
      <c r="AS204" s="634"/>
      <c r="AT204" s="634"/>
      <c r="AU204" s="634"/>
      <c r="AV204" s="634"/>
      <c r="AW204" s="634"/>
      <c r="AX204" s="634"/>
      <c r="AY204" s="634"/>
      <c r="AZ204" s="634"/>
      <c r="BA204" s="634"/>
      <c r="BB204" s="634"/>
      <c r="BC204" s="634"/>
      <c r="BD204" s="634"/>
      <c r="BE204" s="634"/>
      <c r="BF204" s="634"/>
      <c r="BG204" s="634"/>
      <c r="BH204" s="634"/>
      <c r="BI204" s="634"/>
      <c r="BJ204" s="634"/>
      <c r="BK204" s="634"/>
      <c r="BL204" s="634"/>
      <c r="BM204" s="634"/>
      <c r="BN204" s="634"/>
      <c r="BO204" s="634"/>
      <c r="BP204" s="634"/>
      <c r="BQ204" s="634"/>
      <c r="BR204" s="634"/>
      <c r="BS204" s="634"/>
      <c r="BT204" s="634"/>
      <c r="BU204" s="634"/>
      <c r="BV204" s="635"/>
      <c r="BW204" s="635"/>
      <c r="BX204" s="635"/>
      <c r="BY204" s="635"/>
      <c r="BZ204" s="635"/>
      <c r="CA204" s="635"/>
      <c r="CB204" s="635"/>
      <c r="CC204" s="635"/>
      <c r="CD204" s="635"/>
      <c r="CE204" s="635"/>
      <c r="CF204" s="1859"/>
    </row>
    <row customHeight="1" ht="15" hidden="1">
      <c r="A205" s="632"/>
      <c r="B205" s="633"/>
      <c r="C205" s="633"/>
      <c r="D205" s="2588"/>
      <c r="E205" s="2386" t="s">
        <v>638</v>
      </c>
      <c r="F205" s="2387"/>
      <c r="G205" s="2388"/>
      <c r="H205" s="2392" t="str">
        <f>IF(A203="","",INDEX(DIFFERENTIATION_UNMERGE_SYSTEM,MATCH(A203,DIFFERENTIATION_ID_DIFF,0)))</f>
        <v>Котельная №20,пос.Яблоневый Овраг , ул Никитина</v>
      </c>
      <c r="I205" s="2392"/>
      <c r="J205" s="2392"/>
      <c r="K205" s="2392"/>
      <c r="L205" s="2392"/>
      <c r="M205" s="2392"/>
      <c r="N205" s="2392"/>
      <c r="O205" s="2392"/>
      <c r="P205" s="2392"/>
      <c r="Q205" s="2392"/>
      <c r="R205" s="2392"/>
      <c r="S205" s="728"/>
      <c r="T205" s="725"/>
      <c r="U205" s="634"/>
      <c r="V205" s="634"/>
      <c r="W205" s="635"/>
      <c r="X205" s="635"/>
      <c r="Y205" s="635"/>
      <c r="Z205" s="635"/>
      <c r="AA205" s="636"/>
      <c r="AB205" s="637"/>
      <c r="AC205" s="2384"/>
      <c r="AD205" s="638"/>
      <c r="AE205" s="639"/>
      <c r="AF205" s="639"/>
      <c r="AG205" s="640"/>
      <c r="AH205" s="641"/>
      <c r="AI205" s="634"/>
      <c r="AJ205" s="634"/>
      <c r="AK205" s="634"/>
      <c r="AL205" s="634"/>
      <c r="AM205" s="634"/>
      <c r="AN205" s="634"/>
      <c r="AO205" s="634"/>
      <c r="AP205" s="634"/>
      <c r="AQ205" s="634"/>
      <c r="AR205" s="634"/>
      <c r="AS205" s="634"/>
      <c r="AT205" s="634"/>
      <c r="AU205" s="634"/>
      <c r="AV205" s="634"/>
      <c r="AW205" s="634"/>
      <c r="AX205" s="634"/>
      <c r="AY205" s="634"/>
      <c r="AZ205" s="634"/>
      <c r="BA205" s="634"/>
      <c r="BB205" s="634"/>
      <c r="BC205" s="634"/>
      <c r="BD205" s="634"/>
      <c r="BE205" s="634"/>
      <c r="BF205" s="634"/>
      <c r="BG205" s="634"/>
      <c r="BH205" s="634"/>
      <c r="BI205" s="634"/>
      <c r="BJ205" s="634"/>
      <c r="BK205" s="634"/>
      <c r="BL205" s="634"/>
      <c r="BM205" s="634"/>
      <c r="BN205" s="634"/>
      <c r="BO205" s="634"/>
      <c r="BP205" s="634"/>
      <c r="BQ205" s="634"/>
      <c r="BR205" s="634"/>
      <c r="BS205" s="634"/>
      <c r="BT205" s="634"/>
      <c r="BU205" s="634"/>
      <c r="BV205" s="635"/>
      <c r="BW205" s="635"/>
      <c r="BX205" s="635"/>
      <c r="BY205" s="635"/>
      <c r="BZ205" s="635"/>
      <c r="CA205" s="635"/>
      <c r="CB205" s="635"/>
      <c r="CC205" s="635"/>
      <c r="CD205" s="635"/>
      <c r="CE205" s="635"/>
      <c r="CF205" s="1859"/>
    </row>
    <row customHeight="1" ht="24.75" hidden="1">
      <c r="A206" s="1815"/>
      <c r="B206" s="1169"/>
      <c r="C206" s="421"/>
      <c r="D206" s="2588"/>
      <c r="E206" s="2385" t="s">
        <v>683</v>
      </c>
      <c r="F206" s="2385"/>
      <c r="G206" s="2385"/>
      <c r="H206" s="2385"/>
      <c r="I206" s="2385"/>
      <c r="J206" s="2385"/>
      <c r="K206" s="2385"/>
      <c r="L206" s="2385"/>
      <c r="M206" s="2385"/>
      <c r="N206" s="2385"/>
      <c r="O206" s="2385"/>
      <c r="P206" s="2385"/>
      <c r="Q206" s="567">
        <f>SUMIF(T207:T208,"i",Q207:Q208)</f>
        <v>0</v>
      </c>
      <c r="R206" s="1026"/>
      <c r="S206" s="1807" t="s">
        <v>684</v>
      </c>
      <c r="T206" s="726" t="s">
        <v>685</v>
      </c>
      <c r="U206" s="2383">
        <v>1</v>
      </c>
      <c r="V206" s="2383" t="s">
        <v>648</v>
      </c>
      <c r="W206" s="1169"/>
      <c r="X206" s="1169"/>
      <c r="Y206" s="1169"/>
      <c r="Z206" s="1169"/>
      <c r="AA206" s="1645"/>
      <c r="AB206" s="1169"/>
      <c r="AC206" s="2384"/>
      <c r="AD206" s="638"/>
      <c r="AE206" s="1169"/>
      <c r="AF206" s="1169"/>
      <c r="AG206" s="1645"/>
      <c r="AH206" s="1645"/>
      <c r="AI206" s="1645"/>
      <c r="AJ206" s="1645"/>
      <c r="AK206" s="1645"/>
      <c r="AL206" s="1645"/>
      <c r="AM206" s="1645"/>
      <c r="AN206" s="1645"/>
      <c r="AO206" s="1645"/>
      <c r="AP206" s="1645"/>
      <c r="AQ206" s="1645"/>
      <c r="AR206" s="1645"/>
      <c r="AS206" s="1645"/>
      <c r="AT206" s="1645"/>
      <c r="AU206" s="1645"/>
      <c r="AV206" s="1645"/>
      <c r="AW206" s="1645"/>
      <c r="AX206" s="1645"/>
      <c r="AY206" s="1645"/>
      <c r="AZ206" s="1645"/>
      <c r="BA206" s="1645"/>
      <c r="BB206" s="1645"/>
      <c r="BC206" s="1645"/>
      <c r="BD206" s="1645"/>
      <c r="BE206" s="1645"/>
      <c r="BF206" s="1645"/>
      <c r="BG206" s="1645"/>
      <c r="BH206" s="1645"/>
      <c r="BI206" s="1645"/>
      <c r="BJ206" s="1645"/>
      <c r="BK206" s="1645"/>
      <c r="BL206" s="1645"/>
      <c r="BM206" s="1645"/>
      <c r="BN206" s="1645"/>
      <c r="BO206" s="1645"/>
      <c r="BP206" s="1645"/>
      <c r="BQ206" s="1645"/>
      <c r="BR206" s="1645"/>
      <c r="BS206" s="1645"/>
      <c r="BT206" s="1645"/>
      <c r="BU206" s="1645"/>
      <c r="BV206" s="1169"/>
      <c r="BW206" s="1169"/>
      <c r="BX206" s="1169"/>
      <c r="BY206" s="1169"/>
      <c r="BZ206" s="1169"/>
      <c r="CA206" s="1169"/>
      <c r="CB206" s="1169"/>
      <c r="CC206" s="1169"/>
      <c r="CD206" s="1169"/>
      <c r="CE206" s="1169"/>
      <c r="CF206" s="1859"/>
    </row>
    <row customHeight="1" ht="11.25" hidden="1">
      <c r="A207" s="1802"/>
      <c r="B207" s="1645"/>
      <c r="C207" s="1645"/>
      <c r="D207" s="2588"/>
      <c r="E207" s="644"/>
      <c r="F207" s="644">
        <v>0</v>
      </c>
      <c r="G207" s="644"/>
      <c r="H207" s="644"/>
      <c r="I207" s="644"/>
      <c r="J207" s="644"/>
      <c r="K207" s="644"/>
      <c r="L207" s="644"/>
      <c r="M207" s="644"/>
      <c r="N207" s="644"/>
      <c r="O207" s="644"/>
      <c r="P207" s="644"/>
      <c r="Q207" s="644"/>
      <c r="R207" s="644"/>
      <c r="S207" s="645"/>
      <c r="T207" s="727"/>
      <c r="U207" s="2383"/>
      <c r="V207" s="2383"/>
      <c r="W207" s="1645"/>
      <c r="X207" s="1645"/>
      <c r="Y207" s="1645"/>
      <c r="Z207" s="1645"/>
      <c r="AA207" s="1645"/>
      <c r="AB207" s="1169"/>
      <c r="AC207" s="2384"/>
      <c r="AD207" s="638"/>
      <c r="AE207" s="1169"/>
      <c r="AF207" s="1169"/>
      <c r="AG207" s="1645"/>
      <c r="AH207" s="1645"/>
      <c r="AI207" s="1645"/>
      <c r="AJ207" s="1645"/>
      <c r="AK207" s="1645"/>
      <c r="AL207" s="1645"/>
      <c r="AM207" s="1645"/>
      <c r="AN207" s="1645"/>
      <c r="AO207" s="1645"/>
      <c r="AP207" s="1645"/>
      <c r="AQ207" s="1645"/>
      <c r="AR207" s="1645"/>
      <c r="AS207" s="1645"/>
      <c r="AT207" s="1645"/>
      <c r="AU207" s="1645"/>
      <c r="AV207" s="1645"/>
      <c r="AW207" s="1645"/>
      <c r="AX207" s="1645"/>
      <c r="AY207" s="1645"/>
      <c r="AZ207" s="1645"/>
      <c r="BA207" s="1645"/>
      <c r="BB207" s="1645"/>
      <c r="BC207" s="1645"/>
      <c r="BD207" s="1645"/>
      <c r="BE207" s="1645"/>
      <c r="BF207" s="1645"/>
      <c r="BG207" s="1645"/>
      <c r="BH207" s="1645"/>
      <c r="BI207" s="1645"/>
      <c r="BJ207" s="1645"/>
      <c r="BK207" s="1645"/>
      <c r="BL207" s="1645"/>
      <c r="BM207" s="1645"/>
      <c r="BN207" s="1645"/>
      <c r="BO207" s="1645"/>
      <c r="BP207" s="1645"/>
      <c r="BQ207" s="1645"/>
      <c r="BR207" s="1645"/>
      <c r="BS207" s="1645"/>
      <c r="BT207" s="1645"/>
      <c r="BU207" s="1645"/>
      <c r="BV207" s="1645"/>
      <c r="BW207" s="1645"/>
      <c r="BX207" s="1645"/>
      <c r="BY207" s="1645"/>
      <c r="BZ207" s="1645"/>
      <c r="CA207" s="1645"/>
      <c r="CB207" s="1645"/>
      <c r="CC207" s="1645"/>
      <c r="CD207" s="1645"/>
      <c r="CE207" s="1645"/>
      <c r="CF207" s="1859"/>
    </row>
    <row customHeight="1" ht="11.25" hidden="1">
      <c r="A208" s="1815"/>
      <c r="B208" s="1169"/>
      <c r="C208" s="421"/>
      <c r="D208" s="2588"/>
      <c r="E208" s="658" t="s">
        <v>22</v>
      </c>
      <c r="F208" s="1177" t="s">
        <v>22</v>
      </c>
      <c r="G208" s="1177" t="s">
        <v>688</v>
      </c>
      <c r="H208" s="660" t="s">
        <v>22</v>
      </c>
      <c r="I208" s="660"/>
      <c r="J208" s="660"/>
      <c r="K208" s="660"/>
      <c r="L208" s="660"/>
      <c r="M208" s="660"/>
      <c r="N208" s="660"/>
      <c r="O208" s="660"/>
      <c r="P208" s="660"/>
      <c r="Q208" s="660"/>
      <c r="R208" s="661"/>
      <c r="S208" s="662"/>
      <c r="T208" s="727"/>
      <c r="U208" s="2383"/>
      <c r="V208" s="2383"/>
      <c r="W208" s="1169"/>
      <c r="X208" s="1169"/>
      <c r="Y208" s="1169"/>
      <c r="Z208" s="1169"/>
      <c r="AA208" s="1645"/>
      <c r="AB208" s="1169"/>
      <c r="AC208" s="2384"/>
      <c r="AD208" s="638"/>
      <c r="AE208" s="1169"/>
      <c r="AF208" s="1169"/>
      <c r="AG208" s="1645"/>
      <c r="AH208" s="1645"/>
      <c r="AI208" s="1645"/>
      <c r="AJ208" s="1645"/>
      <c r="AK208" s="1645"/>
      <c r="AL208" s="1645"/>
      <c r="AM208" s="1645"/>
      <c r="AN208" s="1645"/>
      <c r="AO208" s="1645"/>
      <c r="AP208" s="1645"/>
      <c r="AQ208" s="1645"/>
      <c r="AR208" s="1645"/>
      <c r="AS208" s="1645"/>
      <c r="AT208" s="1645"/>
      <c r="AU208" s="1645"/>
      <c r="AV208" s="1645"/>
      <c r="AW208" s="1645"/>
      <c r="AX208" s="1645"/>
      <c r="AY208" s="1645"/>
      <c r="AZ208" s="1645"/>
      <c r="BA208" s="1645"/>
      <c r="BB208" s="1645"/>
      <c r="BC208" s="1645"/>
      <c r="BD208" s="1645"/>
      <c r="BE208" s="1645"/>
      <c r="BF208" s="1645"/>
      <c r="BG208" s="1645"/>
      <c r="BH208" s="1645"/>
      <c r="BI208" s="1645"/>
      <c r="BJ208" s="1645"/>
      <c r="BK208" s="1645"/>
      <c r="BL208" s="1645"/>
      <c r="BM208" s="1645"/>
      <c r="BN208" s="1645"/>
      <c r="BO208" s="1645"/>
      <c r="BP208" s="1645"/>
      <c r="BQ208" s="1645"/>
      <c r="BR208" s="1645"/>
      <c r="BS208" s="1645"/>
      <c r="BT208" s="1645"/>
      <c r="BU208" s="1645"/>
      <c r="BV208" s="1169"/>
      <c r="BW208" s="1169"/>
      <c r="BX208" s="1169"/>
      <c r="BY208" s="1169"/>
      <c r="BZ208" s="1169"/>
      <c r="CA208" s="1169"/>
      <c r="CB208" s="1169"/>
      <c r="CC208" s="1169"/>
      <c r="CD208" s="1169"/>
      <c r="CE208" s="1169"/>
      <c r="CF208" s="1859"/>
    </row>
    <row customHeight="1" ht="5.25" hidden="1">
      <c r="A209" s="1802"/>
      <c r="B209" s="1645"/>
      <c r="C209" s="1645"/>
      <c r="D209" s="2588"/>
      <c r="E209" s="1048"/>
      <c r="F209" s="1048"/>
      <c r="G209" s="1048"/>
      <c r="H209" s="1048"/>
      <c r="I209" s="1048"/>
      <c r="J209" s="1048"/>
      <c r="K209" s="1048"/>
      <c r="L209" s="1048"/>
      <c r="M209" s="1048"/>
      <c r="N209" s="1048"/>
      <c r="O209" s="1048"/>
      <c r="P209" s="1048"/>
      <c r="Q209" s="1049"/>
      <c r="R209" s="1050"/>
      <c r="S209" s="1051"/>
      <c r="T209" s="726" t="s">
        <v>685</v>
      </c>
      <c r="U209" s="2383">
        <v>1</v>
      </c>
      <c r="V209" s="2383" t="s">
        <v>648</v>
      </c>
      <c r="W209" s="1645"/>
      <c r="X209" s="1645"/>
      <c r="Y209" s="1645"/>
      <c r="Z209" s="1645"/>
      <c r="AA209" s="1645"/>
      <c r="AB209" s="1645"/>
      <c r="AC209" s="1046"/>
      <c r="AD209" s="1047"/>
      <c r="AE209" s="1645"/>
      <c r="AF209" s="1645"/>
      <c r="AG209" s="1645"/>
      <c r="AH209" s="1645"/>
      <c r="AI209" s="1645"/>
      <c r="AJ209" s="1645"/>
      <c r="AK209" s="1645"/>
      <c r="AL209" s="1645"/>
      <c r="AM209" s="1645"/>
      <c r="AN209" s="1645"/>
      <c r="AO209" s="1645"/>
      <c r="AP209" s="1645"/>
      <c r="AQ209" s="1645"/>
      <c r="AR209" s="1645"/>
      <c r="AS209" s="1645"/>
      <c r="AT209" s="1645"/>
      <c r="AU209" s="1645"/>
      <c r="AV209" s="1645"/>
      <c r="AW209" s="1645"/>
      <c r="AX209" s="1645"/>
      <c r="AY209" s="1645"/>
      <c r="AZ209" s="1645"/>
      <c r="BA209" s="1645"/>
      <c r="BB209" s="1645"/>
      <c r="BC209" s="1645"/>
      <c r="BD209" s="1645"/>
      <c r="BE209" s="1645"/>
      <c r="BF209" s="1645"/>
      <c r="BG209" s="1645"/>
      <c r="BH209" s="1645"/>
      <c r="BI209" s="1645"/>
      <c r="BJ209" s="1645"/>
      <c r="BK209" s="1645"/>
      <c r="BL209" s="1645"/>
      <c r="BM209" s="1645"/>
      <c r="BN209" s="1645"/>
      <c r="BO209" s="1645"/>
      <c r="BP209" s="1645"/>
      <c r="BQ209" s="1645"/>
      <c r="BR209" s="1645"/>
      <c r="BS209" s="1645"/>
      <c r="BT209" s="1645"/>
      <c r="BU209" s="1645"/>
      <c r="BV209" s="1645"/>
      <c r="BW209" s="1645"/>
      <c r="BX209" s="1645"/>
      <c r="BY209" s="1645"/>
      <c r="BZ209" s="1645"/>
      <c r="CA209" s="1645"/>
      <c r="CB209" s="1645"/>
      <c r="CC209" s="1645"/>
      <c r="CD209" s="1645"/>
      <c r="CE209" s="1645"/>
      <c r="CF209" s="1325"/>
    </row>
    <row customHeight="1" ht="5.25" hidden="1">
      <c r="A210" s="1802"/>
      <c r="B210" s="1645"/>
      <c r="C210" s="1645"/>
      <c r="D210" s="2588"/>
      <c r="E210" s="644"/>
      <c r="F210" s="644"/>
      <c r="G210" s="644"/>
      <c r="H210" s="644"/>
      <c r="I210" s="644"/>
      <c r="J210" s="644"/>
      <c r="K210" s="644"/>
      <c r="L210" s="644"/>
      <c r="M210" s="644"/>
      <c r="N210" s="644"/>
      <c r="O210" s="644"/>
      <c r="P210" s="644"/>
      <c r="Q210" s="644"/>
      <c r="R210" s="644"/>
      <c r="S210" s="645"/>
      <c r="T210" s="727"/>
      <c r="U210" s="2383"/>
      <c r="V210" s="2383"/>
      <c r="W210" s="1645"/>
      <c r="X210" s="1645"/>
      <c r="Y210" s="1645"/>
      <c r="Z210" s="1645"/>
      <c r="AA210" s="1645"/>
      <c r="AB210" s="1645"/>
      <c r="AC210" s="1046"/>
      <c r="AD210" s="1047"/>
      <c r="AE210" s="1645"/>
      <c r="AF210" s="1645"/>
      <c r="AG210" s="1645"/>
      <c r="AH210" s="1645"/>
      <c r="AI210" s="1645"/>
      <c r="AJ210" s="1645"/>
      <c r="AK210" s="1645"/>
      <c r="AL210" s="1645"/>
      <c r="AM210" s="1645"/>
      <c r="AN210" s="1645"/>
      <c r="AO210" s="1645"/>
      <c r="AP210" s="1645"/>
      <c r="AQ210" s="1645"/>
      <c r="AR210" s="1645"/>
      <c r="AS210" s="1645"/>
      <c r="AT210" s="1645"/>
      <c r="AU210" s="1645"/>
      <c r="AV210" s="1645"/>
      <c r="AW210" s="1645"/>
      <c r="AX210" s="1645"/>
      <c r="AY210" s="1645"/>
      <c r="AZ210" s="1645"/>
      <c r="BA210" s="1645"/>
      <c r="BB210" s="1645"/>
      <c r="BC210" s="1645"/>
      <c r="BD210" s="1645"/>
      <c r="BE210" s="1645"/>
      <c r="BF210" s="1645"/>
      <c r="BG210" s="1645"/>
      <c r="BH210" s="1645"/>
      <c r="BI210" s="1645"/>
      <c r="BJ210" s="1645"/>
      <c r="BK210" s="1645"/>
      <c r="BL210" s="1645"/>
      <c r="BM210" s="1645"/>
      <c r="BN210" s="1645"/>
      <c r="BO210" s="1645"/>
      <c r="BP210" s="1645"/>
      <c r="BQ210" s="1645"/>
      <c r="BR210" s="1645"/>
      <c r="BS210" s="1645"/>
      <c r="BT210" s="1645"/>
      <c r="BU210" s="1645"/>
      <c r="BV210" s="1645"/>
      <c r="BW210" s="1645"/>
      <c r="BX210" s="1645"/>
      <c r="BY210" s="1645"/>
      <c r="BZ210" s="1645"/>
      <c r="CA210" s="1645"/>
      <c r="CB210" s="1645"/>
      <c r="CC210" s="1645"/>
      <c r="CD210" s="1645"/>
      <c r="CE210" s="1645"/>
      <c r="CF210" s="1325"/>
    </row>
    <row customHeight="1" ht="5.25" hidden="1">
      <c r="A211" s="1802"/>
      <c r="B211" s="1645"/>
      <c r="C211" s="1645"/>
      <c r="D211" s="2589"/>
      <c r="E211" s="1052"/>
      <c r="F211" s="1053"/>
      <c r="G211" s="1053"/>
      <c r="H211" s="1054"/>
      <c r="I211" s="1054"/>
      <c r="J211" s="1054"/>
      <c r="K211" s="1054"/>
      <c r="L211" s="1054"/>
      <c r="M211" s="1054"/>
      <c r="N211" s="1054"/>
      <c r="O211" s="1054"/>
      <c r="P211" s="1054"/>
      <c r="Q211" s="1054"/>
      <c r="R211" s="955"/>
      <c r="S211" s="1055"/>
      <c r="T211" s="727"/>
      <c r="U211" s="2383"/>
      <c r="V211" s="2383"/>
      <c r="W211" s="1645"/>
      <c r="X211" s="1645"/>
      <c r="Y211" s="1645"/>
      <c r="Z211" s="1645"/>
      <c r="AA211" s="1645"/>
      <c r="AB211" s="1645"/>
      <c r="AC211" s="1046"/>
      <c r="AD211" s="1047"/>
      <c r="AE211" s="1645"/>
      <c r="AF211" s="1645"/>
      <c r="AG211" s="1645"/>
      <c r="AH211" s="1645"/>
      <c r="AI211" s="1645"/>
      <c r="AJ211" s="1645"/>
      <c r="AK211" s="1645"/>
      <c r="AL211" s="1645"/>
      <c r="AM211" s="1645"/>
      <c r="AN211" s="1645"/>
      <c r="AO211" s="1645"/>
      <c r="AP211" s="1645"/>
      <c r="AQ211" s="1645"/>
      <c r="AR211" s="1645"/>
      <c r="AS211" s="1645"/>
      <c r="AT211" s="1645"/>
      <c r="AU211" s="1645"/>
      <c r="AV211" s="1645"/>
      <c r="AW211" s="1645"/>
      <c r="AX211" s="1645"/>
      <c r="AY211" s="1645"/>
      <c r="AZ211" s="1645"/>
      <c r="BA211" s="1645"/>
      <c r="BB211" s="1645"/>
      <c r="BC211" s="1645"/>
      <c r="BD211" s="1645"/>
      <c r="BE211" s="1645"/>
      <c r="BF211" s="1645"/>
      <c r="BG211" s="1645"/>
      <c r="BH211" s="1645"/>
      <c r="BI211" s="1645"/>
      <c r="BJ211" s="1645"/>
      <c r="BK211" s="1645"/>
      <c r="BL211" s="1645"/>
      <c r="BM211" s="1645"/>
      <c r="BN211" s="1645"/>
      <c r="BO211" s="1645"/>
      <c r="BP211" s="1645"/>
      <c r="BQ211" s="1645"/>
      <c r="BR211" s="1645"/>
      <c r="BS211" s="1645"/>
      <c r="BT211" s="1645"/>
      <c r="BU211" s="1645"/>
      <c r="BV211" s="1645"/>
      <c r="BW211" s="1645"/>
      <c r="BX211" s="1645"/>
      <c r="BY211" s="1645"/>
      <c r="BZ211" s="1645"/>
      <c r="CA211" s="1645"/>
      <c r="CB211" s="1645"/>
      <c r="CC211" s="1645"/>
      <c r="CD211" s="1645"/>
      <c r="CE211" s="1645"/>
      <c r="CF211" s="1325"/>
    </row>
    <row customHeight="1" ht="15" hidden="1">
      <c r="A212" s="632" t="s">
        <v>180</v>
      </c>
      <c r="B212" s="633"/>
      <c r="C212" s="633" t="s">
        <v>22</v>
      </c>
      <c r="D212" s="2587" t="s">
        <v>709</v>
      </c>
      <c r="E212" s="2386" t="s">
        <v>105</v>
      </c>
      <c r="F212" s="2387"/>
      <c r="G212" s="2388"/>
      <c r="H212" s="2392" t="str">
        <f>IF(A212="","",INDEX(DIFFERENTIATION_UNMERGE_VD,MATCH(A212,DIFFERENTIATION_ID_DIFF,0)))</f>
        <v>Производство тепловой энергии. Некомбинированная выработка</v>
      </c>
      <c r="I212" s="2392"/>
      <c r="J212" s="2392"/>
      <c r="K212" s="2392"/>
      <c r="L212" s="2392"/>
      <c r="M212" s="2392"/>
      <c r="N212" s="2392"/>
      <c r="O212" s="2392"/>
      <c r="P212" s="2392"/>
      <c r="Q212" s="2392"/>
      <c r="R212" s="2392"/>
      <c r="S212" s="728"/>
      <c r="T212" s="725"/>
      <c r="U212" s="634"/>
      <c r="V212" s="634"/>
      <c r="W212" s="635"/>
      <c r="X212" s="635"/>
      <c r="Y212" s="635"/>
      <c r="Z212" s="635"/>
      <c r="AA212" s="636"/>
      <c r="AB212" s="637"/>
      <c r="AC212" s="2384"/>
      <c r="AD212" s="638"/>
      <c r="AE212" s="639" t="s">
        <v>22</v>
      </c>
      <c r="AF212" s="639"/>
      <c r="AG212" s="640" t="s">
        <v>682</v>
      </c>
      <c r="AH212" s="641">
        <v>3</v>
      </c>
      <c r="AI212" s="634"/>
      <c r="AJ212" s="634"/>
      <c r="AK212" s="634"/>
      <c r="AL212" s="634"/>
      <c r="AM212" s="634"/>
      <c r="AN212" s="634"/>
      <c r="AO212" s="634"/>
      <c r="AP212" s="634"/>
      <c r="AQ212" s="634"/>
      <c r="AR212" s="634"/>
      <c r="AS212" s="634"/>
      <c r="AT212" s="634"/>
      <c r="AU212" s="634"/>
      <c r="AV212" s="634"/>
      <c r="AW212" s="634"/>
      <c r="AX212" s="634"/>
      <c r="AY212" s="634"/>
      <c r="AZ212" s="634"/>
      <c r="BA212" s="634"/>
      <c r="BB212" s="634"/>
      <c r="BC212" s="634"/>
      <c r="BD212" s="634"/>
      <c r="BE212" s="634"/>
      <c r="BF212" s="634"/>
      <c r="BG212" s="634"/>
      <c r="BH212" s="634"/>
      <c r="BI212" s="634"/>
      <c r="BJ212" s="634"/>
      <c r="BK212" s="634"/>
      <c r="BL212" s="634"/>
      <c r="BM212" s="634"/>
      <c r="BN212" s="634"/>
      <c r="BO212" s="634"/>
      <c r="BP212" s="634"/>
      <c r="BQ212" s="634"/>
      <c r="BR212" s="634"/>
      <c r="BS212" s="634"/>
      <c r="BT212" s="634"/>
      <c r="BU212" s="634"/>
      <c r="BV212" s="635"/>
      <c r="BW212" s="635"/>
      <c r="BX212" s="635"/>
      <c r="BY212" s="635"/>
      <c r="BZ212" s="635"/>
      <c r="CA212" s="635"/>
      <c r="CB212" s="635"/>
      <c r="CC212" s="635"/>
      <c r="CD212" s="635"/>
      <c r="CE212" s="635"/>
      <c r="CF212" s="1859"/>
    </row>
    <row customHeight="1" ht="15" hidden="1">
      <c r="A213" s="632"/>
      <c r="B213" s="633"/>
      <c r="C213" s="633"/>
      <c r="D213" s="2588"/>
      <c r="E213" s="2386" t="s">
        <v>637</v>
      </c>
      <c r="F213" s="2387"/>
      <c r="G213" s="2388"/>
      <c r="H213" s="2392" t="str">
        <f>IF(A212="","",INDEX(DIFFERENTIATION_UNMERGE_AREA,MATCH(A212,DIFFERENTIATION_ID_DIFF,0)))</f>
        <v>Территория 1</v>
      </c>
      <c r="I213" s="2392"/>
      <c r="J213" s="2392"/>
      <c r="K213" s="2392"/>
      <c r="L213" s="2392"/>
      <c r="M213" s="2392"/>
      <c r="N213" s="2392"/>
      <c r="O213" s="2392"/>
      <c r="P213" s="2392"/>
      <c r="Q213" s="2392"/>
      <c r="R213" s="2392"/>
      <c r="S213" s="728"/>
      <c r="T213" s="725"/>
      <c r="U213" s="634"/>
      <c r="V213" s="634"/>
      <c r="W213" s="635"/>
      <c r="X213" s="635"/>
      <c r="Y213" s="635"/>
      <c r="Z213" s="635"/>
      <c r="AA213" s="636"/>
      <c r="AB213" s="637"/>
      <c r="AC213" s="2384"/>
      <c r="AD213" s="638"/>
      <c r="AE213" s="639"/>
      <c r="AF213" s="639"/>
      <c r="AG213" s="640"/>
      <c r="AH213" s="641"/>
      <c r="AI213" s="634"/>
      <c r="AJ213" s="634"/>
      <c r="AK213" s="634"/>
      <c r="AL213" s="634"/>
      <c r="AM213" s="634"/>
      <c r="AN213" s="634"/>
      <c r="AO213" s="634"/>
      <c r="AP213" s="634"/>
      <c r="AQ213" s="634"/>
      <c r="AR213" s="634"/>
      <c r="AS213" s="634"/>
      <c r="AT213" s="634"/>
      <c r="AU213" s="634"/>
      <c r="AV213" s="634"/>
      <c r="AW213" s="634"/>
      <c r="AX213" s="634"/>
      <c r="AY213" s="634"/>
      <c r="AZ213" s="634"/>
      <c r="BA213" s="634"/>
      <c r="BB213" s="634"/>
      <c r="BC213" s="634"/>
      <c r="BD213" s="634"/>
      <c r="BE213" s="634"/>
      <c r="BF213" s="634"/>
      <c r="BG213" s="634"/>
      <c r="BH213" s="634"/>
      <c r="BI213" s="634"/>
      <c r="BJ213" s="634"/>
      <c r="BK213" s="634"/>
      <c r="BL213" s="634"/>
      <c r="BM213" s="634"/>
      <c r="BN213" s="634"/>
      <c r="BO213" s="634"/>
      <c r="BP213" s="634"/>
      <c r="BQ213" s="634"/>
      <c r="BR213" s="634"/>
      <c r="BS213" s="634"/>
      <c r="BT213" s="634"/>
      <c r="BU213" s="634"/>
      <c r="BV213" s="635"/>
      <c r="BW213" s="635"/>
      <c r="BX213" s="635"/>
      <c r="BY213" s="635"/>
      <c r="BZ213" s="635"/>
      <c r="CA213" s="635"/>
      <c r="CB213" s="635"/>
      <c r="CC213" s="635"/>
      <c r="CD213" s="635"/>
      <c r="CE213" s="635"/>
      <c r="CF213" s="1859"/>
    </row>
    <row customHeight="1" ht="15" hidden="1">
      <c r="A214" s="632"/>
      <c r="B214" s="633"/>
      <c r="C214" s="633"/>
      <c r="D214" s="2588"/>
      <c r="E214" s="2386" t="s">
        <v>638</v>
      </c>
      <c r="F214" s="2387"/>
      <c r="G214" s="2388"/>
      <c r="H214" s="2392" t="str">
        <f>IF(A212="","",INDEX(DIFFERENTIATION_UNMERGE_SYSTEM,MATCH(A212,DIFFERENTIATION_ID_DIFF,0)))</f>
        <v>Котельная №22, ул.Магистральная</v>
      </c>
      <c r="I214" s="2392"/>
      <c r="J214" s="2392"/>
      <c r="K214" s="2392"/>
      <c r="L214" s="2392"/>
      <c r="M214" s="2392"/>
      <c r="N214" s="2392"/>
      <c r="O214" s="2392"/>
      <c r="P214" s="2392"/>
      <c r="Q214" s="2392"/>
      <c r="R214" s="2392"/>
      <c r="S214" s="728"/>
      <c r="T214" s="725"/>
      <c r="U214" s="634"/>
      <c r="V214" s="634"/>
      <c r="W214" s="635"/>
      <c r="X214" s="635"/>
      <c r="Y214" s="635"/>
      <c r="Z214" s="635"/>
      <c r="AA214" s="636"/>
      <c r="AB214" s="637"/>
      <c r="AC214" s="2384"/>
      <c r="AD214" s="638"/>
      <c r="AE214" s="639"/>
      <c r="AF214" s="639"/>
      <c r="AG214" s="640"/>
      <c r="AH214" s="641"/>
      <c r="AI214" s="634"/>
      <c r="AJ214" s="634"/>
      <c r="AK214" s="634"/>
      <c r="AL214" s="634"/>
      <c r="AM214" s="634"/>
      <c r="AN214" s="634"/>
      <c r="AO214" s="634"/>
      <c r="AP214" s="634"/>
      <c r="AQ214" s="634"/>
      <c r="AR214" s="634"/>
      <c r="AS214" s="634"/>
      <c r="AT214" s="634"/>
      <c r="AU214" s="634"/>
      <c r="AV214" s="634"/>
      <c r="AW214" s="634"/>
      <c r="AX214" s="634"/>
      <c r="AY214" s="634"/>
      <c r="AZ214" s="634"/>
      <c r="BA214" s="634"/>
      <c r="BB214" s="634"/>
      <c r="BC214" s="634"/>
      <c r="BD214" s="634"/>
      <c r="BE214" s="634"/>
      <c r="BF214" s="634"/>
      <c r="BG214" s="634"/>
      <c r="BH214" s="634"/>
      <c r="BI214" s="634"/>
      <c r="BJ214" s="634"/>
      <c r="BK214" s="634"/>
      <c r="BL214" s="634"/>
      <c r="BM214" s="634"/>
      <c r="BN214" s="634"/>
      <c r="BO214" s="634"/>
      <c r="BP214" s="634"/>
      <c r="BQ214" s="634"/>
      <c r="BR214" s="634"/>
      <c r="BS214" s="634"/>
      <c r="BT214" s="634"/>
      <c r="BU214" s="634"/>
      <c r="BV214" s="635"/>
      <c r="BW214" s="635"/>
      <c r="BX214" s="635"/>
      <c r="BY214" s="635"/>
      <c r="BZ214" s="635"/>
      <c r="CA214" s="635"/>
      <c r="CB214" s="635"/>
      <c r="CC214" s="635"/>
      <c r="CD214" s="635"/>
      <c r="CE214" s="635"/>
      <c r="CF214" s="1859"/>
    </row>
    <row customHeight="1" ht="24.75" hidden="1">
      <c r="A215" s="1815"/>
      <c r="B215" s="1169"/>
      <c r="C215" s="421"/>
      <c r="D215" s="2588"/>
      <c r="E215" s="2385" t="s">
        <v>683</v>
      </c>
      <c r="F215" s="2385"/>
      <c r="G215" s="2385"/>
      <c r="H215" s="2385"/>
      <c r="I215" s="2385"/>
      <c r="J215" s="2385"/>
      <c r="K215" s="2385"/>
      <c r="L215" s="2385"/>
      <c r="M215" s="2385"/>
      <c r="N215" s="2385"/>
      <c r="O215" s="2385"/>
      <c r="P215" s="2385"/>
      <c r="Q215" s="567">
        <f>SUMIF(T216:T217,"i",Q216:Q217)</f>
        <v>0</v>
      </c>
      <c r="R215" s="1026"/>
      <c r="S215" s="1807" t="s">
        <v>684</v>
      </c>
      <c r="T215" s="726" t="s">
        <v>685</v>
      </c>
      <c r="U215" s="2383">
        <v>1</v>
      </c>
      <c r="V215" s="2383" t="s">
        <v>648</v>
      </c>
      <c r="W215" s="1169"/>
      <c r="X215" s="1169"/>
      <c r="Y215" s="1169"/>
      <c r="Z215" s="1169"/>
      <c r="AA215" s="1645"/>
      <c r="AB215" s="1169"/>
      <c r="AC215" s="2384"/>
      <c r="AD215" s="638"/>
      <c r="AE215" s="1169"/>
      <c r="AF215" s="1169"/>
      <c r="AG215" s="1645"/>
      <c r="AH215" s="1645"/>
      <c r="AI215" s="1645"/>
      <c r="AJ215" s="1645"/>
      <c r="AK215" s="1645"/>
      <c r="AL215" s="1645"/>
      <c r="AM215" s="1645"/>
      <c r="AN215" s="1645"/>
      <c r="AO215" s="1645"/>
      <c r="AP215" s="1645"/>
      <c r="AQ215" s="1645"/>
      <c r="AR215" s="1645"/>
      <c r="AS215" s="1645"/>
      <c r="AT215" s="1645"/>
      <c r="AU215" s="1645"/>
      <c r="AV215" s="1645"/>
      <c r="AW215" s="1645"/>
      <c r="AX215" s="1645"/>
      <c r="AY215" s="1645"/>
      <c r="AZ215" s="1645"/>
      <c r="BA215" s="1645"/>
      <c r="BB215" s="1645"/>
      <c r="BC215" s="1645"/>
      <c r="BD215" s="1645"/>
      <c r="BE215" s="1645"/>
      <c r="BF215" s="1645"/>
      <c r="BG215" s="1645"/>
      <c r="BH215" s="1645"/>
      <c r="BI215" s="1645"/>
      <c r="BJ215" s="1645"/>
      <c r="BK215" s="1645"/>
      <c r="BL215" s="1645"/>
      <c r="BM215" s="1645"/>
      <c r="BN215" s="1645"/>
      <c r="BO215" s="1645"/>
      <c r="BP215" s="1645"/>
      <c r="BQ215" s="1645"/>
      <c r="BR215" s="1645"/>
      <c r="BS215" s="1645"/>
      <c r="BT215" s="1645"/>
      <c r="BU215" s="1645"/>
      <c r="BV215" s="1169"/>
      <c r="BW215" s="1169"/>
      <c r="BX215" s="1169"/>
      <c r="BY215" s="1169"/>
      <c r="BZ215" s="1169"/>
      <c r="CA215" s="1169"/>
      <c r="CB215" s="1169"/>
      <c r="CC215" s="1169"/>
      <c r="CD215" s="1169"/>
      <c r="CE215" s="1169"/>
      <c r="CF215" s="1859"/>
    </row>
    <row customHeight="1" ht="11.25" hidden="1">
      <c r="A216" s="1802"/>
      <c r="B216" s="1645"/>
      <c r="C216" s="1645"/>
      <c r="D216" s="2588"/>
      <c r="E216" s="644"/>
      <c r="F216" s="644">
        <v>0</v>
      </c>
      <c r="G216" s="644"/>
      <c r="H216" s="644"/>
      <c r="I216" s="644"/>
      <c r="J216" s="644"/>
      <c r="K216" s="644"/>
      <c r="L216" s="644"/>
      <c r="M216" s="644"/>
      <c r="N216" s="644"/>
      <c r="O216" s="644"/>
      <c r="P216" s="644"/>
      <c r="Q216" s="644"/>
      <c r="R216" s="644"/>
      <c r="S216" s="645"/>
      <c r="T216" s="727"/>
      <c r="U216" s="2383"/>
      <c r="V216" s="2383"/>
      <c r="W216" s="1645"/>
      <c r="X216" s="1645"/>
      <c r="Y216" s="1645"/>
      <c r="Z216" s="1645"/>
      <c r="AA216" s="1645"/>
      <c r="AB216" s="1169"/>
      <c r="AC216" s="2384"/>
      <c r="AD216" s="638"/>
      <c r="AE216" s="1169"/>
      <c r="AF216" s="1169"/>
      <c r="AG216" s="1645"/>
      <c r="AH216" s="1645"/>
      <c r="AI216" s="1645"/>
      <c r="AJ216" s="1645"/>
      <c r="AK216" s="1645"/>
      <c r="AL216" s="1645"/>
      <c r="AM216" s="1645"/>
      <c r="AN216" s="1645"/>
      <c r="AO216" s="1645"/>
      <c r="AP216" s="1645"/>
      <c r="AQ216" s="1645"/>
      <c r="AR216" s="1645"/>
      <c r="AS216" s="1645"/>
      <c r="AT216" s="1645"/>
      <c r="AU216" s="1645"/>
      <c r="AV216" s="1645"/>
      <c r="AW216" s="1645"/>
      <c r="AX216" s="1645"/>
      <c r="AY216" s="1645"/>
      <c r="AZ216" s="1645"/>
      <c r="BA216" s="1645"/>
      <c r="BB216" s="1645"/>
      <c r="BC216" s="1645"/>
      <c r="BD216" s="1645"/>
      <c r="BE216" s="1645"/>
      <c r="BF216" s="1645"/>
      <c r="BG216" s="1645"/>
      <c r="BH216" s="1645"/>
      <c r="BI216" s="1645"/>
      <c r="BJ216" s="1645"/>
      <c r="BK216" s="1645"/>
      <c r="BL216" s="1645"/>
      <c r="BM216" s="1645"/>
      <c r="BN216" s="1645"/>
      <c r="BO216" s="1645"/>
      <c r="BP216" s="1645"/>
      <c r="BQ216" s="1645"/>
      <c r="BR216" s="1645"/>
      <c r="BS216" s="1645"/>
      <c r="BT216" s="1645"/>
      <c r="BU216" s="1645"/>
      <c r="BV216" s="1645"/>
      <c r="BW216" s="1645"/>
      <c r="BX216" s="1645"/>
      <c r="BY216" s="1645"/>
      <c r="BZ216" s="1645"/>
      <c r="CA216" s="1645"/>
      <c r="CB216" s="1645"/>
      <c r="CC216" s="1645"/>
      <c r="CD216" s="1645"/>
      <c r="CE216" s="1645"/>
      <c r="CF216" s="1859"/>
    </row>
    <row customHeight="1" ht="11.25" hidden="1">
      <c r="A217" s="1815"/>
      <c r="B217" s="1169"/>
      <c r="C217" s="421"/>
      <c r="D217" s="2588"/>
      <c r="E217" s="658" t="s">
        <v>22</v>
      </c>
      <c r="F217" s="1177" t="s">
        <v>22</v>
      </c>
      <c r="G217" s="1177" t="s">
        <v>688</v>
      </c>
      <c r="H217" s="660" t="s">
        <v>22</v>
      </c>
      <c r="I217" s="660"/>
      <c r="J217" s="660"/>
      <c r="K217" s="660"/>
      <c r="L217" s="660"/>
      <c r="M217" s="660"/>
      <c r="N217" s="660"/>
      <c r="O217" s="660"/>
      <c r="P217" s="660"/>
      <c r="Q217" s="660"/>
      <c r="R217" s="661"/>
      <c r="S217" s="662"/>
      <c r="T217" s="727"/>
      <c r="U217" s="2383"/>
      <c r="V217" s="2383"/>
      <c r="W217" s="1169"/>
      <c r="X217" s="1169"/>
      <c r="Y217" s="1169"/>
      <c r="Z217" s="1169"/>
      <c r="AA217" s="1645"/>
      <c r="AB217" s="1169"/>
      <c r="AC217" s="2384"/>
      <c r="AD217" s="638"/>
      <c r="AE217" s="1169"/>
      <c r="AF217" s="1169"/>
      <c r="AG217" s="1645"/>
      <c r="AH217" s="1645"/>
      <c r="AI217" s="1645"/>
      <c r="AJ217" s="1645"/>
      <c r="AK217" s="1645"/>
      <c r="AL217" s="1645"/>
      <c r="AM217" s="1645"/>
      <c r="AN217" s="1645"/>
      <c r="AO217" s="1645"/>
      <c r="AP217" s="1645"/>
      <c r="AQ217" s="1645"/>
      <c r="AR217" s="1645"/>
      <c r="AS217" s="1645"/>
      <c r="AT217" s="1645"/>
      <c r="AU217" s="1645"/>
      <c r="AV217" s="1645"/>
      <c r="AW217" s="1645"/>
      <c r="AX217" s="1645"/>
      <c r="AY217" s="1645"/>
      <c r="AZ217" s="1645"/>
      <c r="BA217" s="1645"/>
      <c r="BB217" s="1645"/>
      <c r="BC217" s="1645"/>
      <c r="BD217" s="1645"/>
      <c r="BE217" s="1645"/>
      <c r="BF217" s="1645"/>
      <c r="BG217" s="1645"/>
      <c r="BH217" s="1645"/>
      <c r="BI217" s="1645"/>
      <c r="BJ217" s="1645"/>
      <c r="BK217" s="1645"/>
      <c r="BL217" s="1645"/>
      <c r="BM217" s="1645"/>
      <c r="BN217" s="1645"/>
      <c r="BO217" s="1645"/>
      <c r="BP217" s="1645"/>
      <c r="BQ217" s="1645"/>
      <c r="BR217" s="1645"/>
      <c r="BS217" s="1645"/>
      <c r="BT217" s="1645"/>
      <c r="BU217" s="1645"/>
      <c r="BV217" s="1169"/>
      <c r="BW217" s="1169"/>
      <c r="BX217" s="1169"/>
      <c r="BY217" s="1169"/>
      <c r="BZ217" s="1169"/>
      <c r="CA217" s="1169"/>
      <c r="CB217" s="1169"/>
      <c r="CC217" s="1169"/>
      <c r="CD217" s="1169"/>
      <c r="CE217" s="1169"/>
      <c r="CF217" s="1859"/>
    </row>
    <row customHeight="1" ht="5.25" hidden="1">
      <c r="A218" s="1802"/>
      <c r="B218" s="1645"/>
      <c r="C218" s="1645"/>
      <c r="D218" s="2588"/>
      <c r="E218" s="1048"/>
      <c r="F218" s="1048"/>
      <c r="G218" s="1048"/>
      <c r="H218" s="1048"/>
      <c r="I218" s="1048"/>
      <c r="J218" s="1048"/>
      <c r="K218" s="1048"/>
      <c r="L218" s="1048"/>
      <c r="M218" s="1048"/>
      <c r="N218" s="1048"/>
      <c r="O218" s="1048"/>
      <c r="P218" s="1048"/>
      <c r="Q218" s="1049"/>
      <c r="R218" s="1050"/>
      <c r="S218" s="1051"/>
      <c r="T218" s="726" t="s">
        <v>685</v>
      </c>
      <c r="U218" s="2383">
        <v>1</v>
      </c>
      <c r="V218" s="2383" t="s">
        <v>648</v>
      </c>
      <c r="W218" s="1645"/>
      <c r="X218" s="1645"/>
      <c r="Y218" s="1645"/>
      <c r="Z218" s="1645"/>
      <c r="AA218" s="1645"/>
      <c r="AB218" s="1645"/>
      <c r="AC218" s="1046"/>
      <c r="AD218" s="1047"/>
      <c r="AE218" s="1645"/>
      <c r="AF218" s="1645"/>
      <c r="AG218" s="1645"/>
      <c r="AH218" s="1645"/>
      <c r="AI218" s="1645"/>
      <c r="AJ218" s="1645"/>
      <c r="AK218" s="1645"/>
      <c r="AL218" s="1645"/>
      <c r="AM218" s="1645"/>
      <c r="AN218" s="1645"/>
      <c r="AO218" s="1645"/>
      <c r="AP218" s="1645"/>
      <c r="AQ218" s="1645"/>
      <c r="AR218" s="1645"/>
      <c r="AS218" s="1645"/>
      <c r="AT218" s="1645"/>
      <c r="AU218" s="1645"/>
      <c r="AV218" s="1645"/>
      <c r="AW218" s="1645"/>
      <c r="AX218" s="1645"/>
      <c r="AY218" s="1645"/>
      <c r="AZ218" s="1645"/>
      <c r="BA218" s="1645"/>
      <c r="BB218" s="1645"/>
      <c r="BC218" s="1645"/>
      <c r="BD218" s="1645"/>
      <c r="BE218" s="1645"/>
      <c r="BF218" s="1645"/>
      <c r="BG218" s="1645"/>
      <c r="BH218" s="1645"/>
      <c r="BI218" s="1645"/>
      <c r="BJ218" s="1645"/>
      <c r="BK218" s="1645"/>
      <c r="BL218" s="1645"/>
      <c r="BM218" s="1645"/>
      <c r="BN218" s="1645"/>
      <c r="BO218" s="1645"/>
      <c r="BP218" s="1645"/>
      <c r="BQ218" s="1645"/>
      <c r="BR218" s="1645"/>
      <c r="BS218" s="1645"/>
      <c r="BT218" s="1645"/>
      <c r="BU218" s="1645"/>
      <c r="BV218" s="1645"/>
      <c r="BW218" s="1645"/>
      <c r="BX218" s="1645"/>
      <c r="BY218" s="1645"/>
      <c r="BZ218" s="1645"/>
      <c r="CA218" s="1645"/>
      <c r="CB218" s="1645"/>
      <c r="CC218" s="1645"/>
      <c r="CD218" s="1645"/>
      <c r="CE218" s="1645"/>
      <c r="CF218" s="1325"/>
    </row>
    <row customHeight="1" ht="5.25" hidden="1">
      <c r="A219" s="1802"/>
      <c r="B219" s="1645"/>
      <c r="C219" s="1645"/>
      <c r="D219" s="2588"/>
      <c r="E219" s="644"/>
      <c r="F219" s="644"/>
      <c r="G219" s="644"/>
      <c r="H219" s="644"/>
      <c r="I219" s="644"/>
      <c r="J219" s="644"/>
      <c r="K219" s="644"/>
      <c r="L219" s="644"/>
      <c r="M219" s="644"/>
      <c r="N219" s="644"/>
      <c r="O219" s="644"/>
      <c r="P219" s="644"/>
      <c r="Q219" s="644"/>
      <c r="R219" s="644"/>
      <c r="S219" s="645"/>
      <c r="T219" s="727"/>
      <c r="U219" s="2383"/>
      <c r="V219" s="2383"/>
      <c r="W219" s="1645"/>
      <c r="X219" s="1645"/>
      <c r="Y219" s="1645"/>
      <c r="Z219" s="1645"/>
      <c r="AA219" s="1645"/>
      <c r="AB219" s="1645"/>
      <c r="AC219" s="1046"/>
      <c r="AD219" s="1047"/>
      <c r="AE219" s="1645"/>
      <c r="AF219" s="1645"/>
      <c r="AG219" s="1645"/>
      <c r="AH219" s="1645"/>
      <c r="AI219" s="1645"/>
      <c r="AJ219" s="1645"/>
      <c r="AK219" s="1645"/>
      <c r="AL219" s="1645"/>
      <c r="AM219" s="1645"/>
      <c r="AN219" s="1645"/>
      <c r="AO219" s="1645"/>
      <c r="AP219" s="1645"/>
      <c r="AQ219" s="1645"/>
      <c r="AR219" s="1645"/>
      <c r="AS219" s="1645"/>
      <c r="AT219" s="1645"/>
      <c r="AU219" s="1645"/>
      <c r="AV219" s="1645"/>
      <c r="AW219" s="1645"/>
      <c r="AX219" s="1645"/>
      <c r="AY219" s="1645"/>
      <c r="AZ219" s="1645"/>
      <c r="BA219" s="1645"/>
      <c r="BB219" s="1645"/>
      <c r="BC219" s="1645"/>
      <c r="BD219" s="1645"/>
      <c r="BE219" s="1645"/>
      <c r="BF219" s="1645"/>
      <c r="BG219" s="1645"/>
      <c r="BH219" s="1645"/>
      <c r="BI219" s="1645"/>
      <c r="BJ219" s="1645"/>
      <c r="BK219" s="1645"/>
      <c r="BL219" s="1645"/>
      <c r="BM219" s="1645"/>
      <c r="BN219" s="1645"/>
      <c r="BO219" s="1645"/>
      <c r="BP219" s="1645"/>
      <c r="BQ219" s="1645"/>
      <c r="BR219" s="1645"/>
      <c r="BS219" s="1645"/>
      <c r="BT219" s="1645"/>
      <c r="BU219" s="1645"/>
      <c r="BV219" s="1645"/>
      <c r="BW219" s="1645"/>
      <c r="BX219" s="1645"/>
      <c r="BY219" s="1645"/>
      <c r="BZ219" s="1645"/>
      <c r="CA219" s="1645"/>
      <c r="CB219" s="1645"/>
      <c r="CC219" s="1645"/>
      <c r="CD219" s="1645"/>
      <c r="CE219" s="1645"/>
      <c r="CF219" s="1325"/>
    </row>
    <row customHeight="1" ht="5.25" hidden="1">
      <c r="A220" s="1802"/>
      <c r="B220" s="1645"/>
      <c r="C220" s="1645"/>
      <c r="D220" s="2589"/>
      <c r="E220" s="1052"/>
      <c r="F220" s="1053"/>
      <c r="G220" s="1053"/>
      <c r="H220" s="1054"/>
      <c r="I220" s="1054"/>
      <c r="J220" s="1054"/>
      <c r="K220" s="1054"/>
      <c r="L220" s="1054"/>
      <c r="M220" s="1054"/>
      <c r="N220" s="1054"/>
      <c r="O220" s="1054"/>
      <c r="P220" s="1054"/>
      <c r="Q220" s="1054"/>
      <c r="R220" s="955"/>
      <c r="S220" s="1055"/>
      <c r="T220" s="727"/>
      <c r="U220" s="2383"/>
      <c r="V220" s="2383"/>
      <c r="W220" s="1645"/>
      <c r="X220" s="1645"/>
      <c r="Y220" s="1645"/>
      <c r="Z220" s="1645"/>
      <c r="AA220" s="1645"/>
      <c r="AB220" s="1645"/>
      <c r="AC220" s="1046"/>
      <c r="AD220" s="1047"/>
      <c r="AE220" s="1645"/>
      <c r="AF220" s="1645"/>
      <c r="AG220" s="1645"/>
      <c r="AH220" s="1645"/>
      <c r="AI220" s="1645"/>
      <c r="AJ220" s="1645"/>
      <c r="AK220" s="1645"/>
      <c r="AL220" s="1645"/>
      <c r="AM220" s="1645"/>
      <c r="AN220" s="1645"/>
      <c r="AO220" s="1645"/>
      <c r="AP220" s="1645"/>
      <c r="AQ220" s="1645"/>
      <c r="AR220" s="1645"/>
      <c r="AS220" s="1645"/>
      <c r="AT220" s="1645"/>
      <c r="AU220" s="1645"/>
      <c r="AV220" s="1645"/>
      <c r="AW220" s="1645"/>
      <c r="AX220" s="1645"/>
      <c r="AY220" s="1645"/>
      <c r="AZ220" s="1645"/>
      <c r="BA220" s="1645"/>
      <c r="BB220" s="1645"/>
      <c r="BC220" s="1645"/>
      <c r="BD220" s="1645"/>
      <c r="BE220" s="1645"/>
      <c r="BF220" s="1645"/>
      <c r="BG220" s="1645"/>
      <c r="BH220" s="1645"/>
      <c r="BI220" s="1645"/>
      <c r="BJ220" s="1645"/>
      <c r="BK220" s="1645"/>
      <c r="BL220" s="1645"/>
      <c r="BM220" s="1645"/>
      <c r="BN220" s="1645"/>
      <c r="BO220" s="1645"/>
      <c r="BP220" s="1645"/>
      <c r="BQ220" s="1645"/>
      <c r="BR220" s="1645"/>
      <c r="BS220" s="1645"/>
      <c r="BT220" s="1645"/>
      <c r="BU220" s="1645"/>
      <c r="BV220" s="1645"/>
      <c r="BW220" s="1645"/>
      <c r="BX220" s="1645"/>
      <c r="BY220" s="1645"/>
      <c r="BZ220" s="1645"/>
      <c r="CA220" s="1645"/>
      <c r="CB220" s="1645"/>
      <c r="CC220" s="1645"/>
      <c r="CD220" s="1645"/>
      <c r="CE220" s="1645"/>
      <c r="CF220" s="1325"/>
    </row>
    <row customHeight="1" ht="15" hidden="1">
      <c r="A221" s="632" t="s">
        <v>183</v>
      </c>
      <c r="B221" s="633"/>
      <c r="C221" s="633" t="s">
        <v>22</v>
      </c>
      <c r="D221" s="2587" t="s">
        <v>710</v>
      </c>
      <c r="E221" s="2386" t="s">
        <v>105</v>
      </c>
      <c r="F221" s="2387"/>
      <c r="G221" s="2388"/>
      <c r="H221" s="2392" t="str">
        <f>IF(A221="","",INDEX(DIFFERENTIATION_UNMERGE_VD,MATCH(A221,DIFFERENTIATION_ID_DIFF,0)))</f>
        <v>Производство тепловой энергии. Некомбинированная выработка</v>
      </c>
      <c r="I221" s="2392"/>
      <c r="J221" s="2392"/>
      <c r="K221" s="2392"/>
      <c r="L221" s="2392"/>
      <c r="M221" s="2392"/>
      <c r="N221" s="2392"/>
      <c r="O221" s="2392"/>
      <c r="P221" s="2392"/>
      <c r="Q221" s="2392"/>
      <c r="R221" s="2392"/>
      <c r="S221" s="728"/>
      <c r="T221" s="725"/>
      <c r="U221" s="634"/>
      <c r="V221" s="634"/>
      <c r="W221" s="635"/>
      <c r="X221" s="635"/>
      <c r="Y221" s="635"/>
      <c r="Z221" s="635"/>
      <c r="AA221" s="636"/>
      <c r="AB221" s="637"/>
      <c r="AC221" s="2384"/>
      <c r="AD221" s="638"/>
      <c r="AE221" s="639" t="s">
        <v>22</v>
      </c>
      <c r="AF221" s="639"/>
      <c r="AG221" s="640" t="s">
        <v>682</v>
      </c>
      <c r="AH221" s="641">
        <v>3</v>
      </c>
      <c r="AI221" s="634"/>
      <c r="AJ221" s="634"/>
      <c r="AK221" s="634"/>
      <c r="AL221" s="634"/>
      <c r="AM221" s="634"/>
      <c r="AN221" s="634"/>
      <c r="AO221" s="634"/>
      <c r="AP221" s="634"/>
      <c r="AQ221" s="634"/>
      <c r="AR221" s="634"/>
      <c r="AS221" s="634"/>
      <c r="AT221" s="634"/>
      <c r="AU221" s="634"/>
      <c r="AV221" s="634"/>
      <c r="AW221" s="634"/>
      <c r="AX221" s="634"/>
      <c r="AY221" s="634"/>
      <c r="AZ221" s="634"/>
      <c r="BA221" s="634"/>
      <c r="BB221" s="634"/>
      <c r="BC221" s="634"/>
      <c r="BD221" s="634"/>
      <c r="BE221" s="634"/>
      <c r="BF221" s="634"/>
      <c r="BG221" s="634"/>
      <c r="BH221" s="634"/>
      <c r="BI221" s="634"/>
      <c r="BJ221" s="634"/>
      <c r="BK221" s="634"/>
      <c r="BL221" s="634"/>
      <c r="BM221" s="634"/>
      <c r="BN221" s="634"/>
      <c r="BO221" s="634"/>
      <c r="BP221" s="634"/>
      <c r="BQ221" s="634"/>
      <c r="BR221" s="634"/>
      <c r="BS221" s="634"/>
      <c r="BT221" s="634"/>
      <c r="BU221" s="634"/>
      <c r="BV221" s="635"/>
      <c r="BW221" s="635"/>
      <c r="BX221" s="635"/>
      <c r="BY221" s="635"/>
      <c r="BZ221" s="635"/>
      <c r="CA221" s="635"/>
      <c r="CB221" s="635"/>
      <c r="CC221" s="635"/>
      <c r="CD221" s="635"/>
      <c r="CE221" s="635"/>
      <c r="CF221" s="1859"/>
    </row>
    <row customHeight="1" ht="15" hidden="1">
      <c r="A222" s="632"/>
      <c r="B222" s="633"/>
      <c r="C222" s="633"/>
      <c r="D222" s="2588"/>
      <c r="E222" s="2386" t="s">
        <v>637</v>
      </c>
      <c r="F222" s="2387"/>
      <c r="G222" s="2388"/>
      <c r="H222" s="2392" t="str">
        <f>IF(A221="","",INDEX(DIFFERENTIATION_UNMERGE_AREA,MATCH(A221,DIFFERENTIATION_ID_DIFF,0)))</f>
        <v>Территория 1</v>
      </c>
      <c r="I222" s="2392"/>
      <c r="J222" s="2392"/>
      <c r="K222" s="2392"/>
      <c r="L222" s="2392"/>
      <c r="M222" s="2392"/>
      <c r="N222" s="2392"/>
      <c r="O222" s="2392"/>
      <c r="P222" s="2392"/>
      <c r="Q222" s="2392"/>
      <c r="R222" s="2392"/>
      <c r="S222" s="728"/>
      <c r="T222" s="725"/>
      <c r="U222" s="634"/>
      <c r="V222" s="634"/>
      <c r="W222" s="635"/>
      <c r="X222" s="635"/>
      <c r="Y222" s="635"/>
      <c r="Z222" s="635"/>
      <c r="AA222" s="636"/>
      <c r="AB222" s="637"/>
      <c r="AC222" s="2384"/>
      <c r="AD222" s="638"/>
      <c r="AE222" s="639"/>
      <c r="AF222" s="639"/>
      <c r="AG222" s="640"/>
      <c r="AH222" s="641"/>
      <c r="AI222" s="634"/>
      <c r="AJ222" s="634"/>
      <c r="AK222" s="634"/>
      <c r="AL222" s="634"/>
      <c r="AM222" s="634"/>
      <c r="AN222" s="634"/>
      <c r="AO222" s="634"/>
      <c r="AP222" s="634"/>
      <c r="AQ222" s="634"/>
      <c r="AR222" s="634"/>
      <c r="AS222" s="634"/>
      <c r="AT222" s="634"/>
      <c r="AU222" s="634"/>
      <c r="AV222" s="634"/>
      <c r="AW222" s="634"/>
      <c r="AX222" s="634"/>
      <c r="AY222" s="634"/>
      <c r="AZ222" s="634"/>
      <c r="BA222" s="634"/>
      <c r="BB222" s="634"/>
      <c r="BC222" s="634"/>
      <c r="BD222" s="634"/>
      <c r="BE222" s="634"/>
      <c r="BF222" s="634"/>
      <c r="BG222" s="634"/>
      <c r="BH222" s="634"/>
      <c r="BI222" s="634"/>
      <c r="BJ222" s="634"/>
      <c r="BK222" s="634"/>
      <c r="BL222" s="634"/>
      <c r="BM222" s="634"/>
      <c r="BN222" s="634"/>
      <c r="BO222" s="634"/>
      <c r="BP222" s="634"/>
      <c r="BQ222" s="634"/>
      <c r="BR222" s="634"/>
      <c r="BS222" s="634"/>
      <c r="BT222" s="634"/>
      <c r="BU222" s="634"/>
      <c r="BV222" s="635"/>
      <c r="BW222" s="635"/>
      <c r="BX222" s="635"/>
      <c r="BY222" s="635"/>
      <c r="BZ222" s="635"/>
      <c r="CA222" s="635"/>
      <c r="CB222" s="635"/>
      <c r="CC222" s="635"/>
      <c r="CD222" s="635"/>
      <c r="CE222" s="635"/>
      <c r="CF222" s="1859"/>
    </row>
    <row customHeight="1" ht="15" hidden="1">
      <c r="A223" s="632"/>
      <c r="B223" s="633"/>
      <c r="C223" s="633"/>
      <c r="D223" s="2588"/>
      <c r="E223" s="2386" t="s">
        <v>638</v>
      </c>
      <c r="F223" s="2387"/>
      <c r="G223" s="2388"/>
      <c r="H223" s="2392" t="str">
        <f>IF(A221="","",INDEX(DIFFERENTIATION_UNMERGE_SYSTEM,MATCH(A221,DIFFERENTIATION_ID_DIFF,0)))</f>
        <v>Котельная №25,  МКР Г-1, ул.Гидротехническая</v>
      </c>
      <c r="I223" s="2392"/>
      <c r="J223" s="2392"/>
      <c r="K223" s="2392"/>
      <c r="L223" s="2392"/>
      <c r="M223" s="2392"/>
      <c r="N223" s="2392"/>
      <c r="O223" s="2392"/>
      <c r="P223" s="2392"/>
      <c r="Q223" s="2392"/>
      <c r="R223" s="2392"/>
      <c r="S223" s="728"/>
      <c r="T223" s="725"/>
      <c r="U223" s="634"/>
      <c r="V223" s="634"/>
      <c r="W223" s="635"/>
      <c r="X223" s="635"/>
      <c r="Y223" s="635"/>
      <c r="Z223" s="635"/>
      <c r="AA223" s="636"/>
      <c r="AB223" s="637"/>
      <c r="AC223" s="2384"/>
      <c r="AD223" s="638"/>
      <c r="AE223" s="639"/>
      <c r="AF223" s="639"/>
      <c r="AG223" s="640"/>
      <c r="AH223" s="641"/>
      <c r="AI223" s="634"/>
      <c r="AJ223" s="634"/>
      <c r="AK223" s="634"/>
      <c r="AL223" s="634"/>
      <c r="AM223" s="634"/>
      <c r="AN223" s="634"/>
      <c r="AO223" s="634"/>
      <c r="AP223" s="634"/>
      <c r="AQ223" s="634"/>
      <c r="AR223" s="634"/>
      <c r="AS223" s="634"/>
      <c r="AT223" s="634"/>
      <c r="AU223" s="634"/>
      <c r="AV223" s="634"/>
      <c r="AW223" s="634"/>
      <c r="AX223" s="634"/>
      <c r="AY223" s="634"/>
      <c r="AZ223" s="634"/>
      <c r="BA223" s="634"/>
      <c r="BB223" s="634"/>
      <c r="BC223" s="634"/>
      <c r="BD223" s="634"/>
      <c r="BE223" s="634"/>
      <c r="BF223" s="634"/>
      <c r="BG223" s="634"/>
      <c r="BH223" s="634"/>
      <c r="BI223" s="634"/>
      <c r="BJ223" s="634"/>
      <c r="BK223" s="634"/>
      <c r="BL223" s="634"/>
      <c r="BM223" s="634"/>
      <c r="BN223" s="634"/>
      <c r="BO223" s="634"/>
      <c r="BP223" s="634"/>
      <c r="BQ223" s="634"/>
      <c r="BR223" s="634"/>
      <c r="BS223" s="634"/>
      <c r="BT223" s="634"/>
      <c r="BU223" s="634"/>
      <c r="BV223" s="635"/>
      <c r="BW223" s="635"/>
      <c r="BX223" s="635"/>
      <c r="BY223" s="635"/>
      <c r="BZ223" s="635"/>
      <c r="CA223" s="635"/>
      <c r="CB223" s="635"/>
      <c r="CC223" s="635"/>
      <c r="CD223" s="635"/>
      <c r="CE223" s="635"/>
      <c r="CF223" s="1859"/>
    </row>
    <row customHeight="1" ht="24.75" hidden="1">
      <c r="A224" s="1815"/>
      <c r="B224" s="1169"/>
      <c r="C224" s="421"/>
      <c r="D224" s="2588"/>
      <c r="E224" s="2385" t="s">
        <v>683</v>
      </c>
      <c r="F224" s="2385"/>
      <c r="G224" s="2385"/>
      <c r="H224" s="2385"/>
      <c r="I224" s="2385"/>
      <c r="J224" s="2385"/>
      <c r="K224" s="2385"/>
      <c r="L224" s="2385"/>
      <c r="M224" s="2385"/>
      <c r="N224" s="2385"/>
      <c r="O224" s="2385"/>
      <c r="P224" s="2385"/>
      <c r="Q224" s="567">
        <f>SUMIF(T225:T226,"i",Q225:Q226)</f>
        <v>0</v>
      </c>
      <c r="R224" s="1026"/>
      <c r="S224" s="1807" t="s">
        <v>684</v>
      </c>
      <c r="T224" s="726" t="s">
        <v>685</v>
      </c>
      <c r="U224" s="2383">
        <v>1</v>
      </c>
      <c r="V224" s="2383" t="s">
        <v>648</v>
      </c>
      <c r="W224" s="1169"/>
      <c r="X224" s="1169"/>
      <c r="Y224" s="1169"/>
      <c r="Z224" s="1169"/>
      <c r="AA224" s="1645"/>
      <c r="AB224" s="1169"/>
      <c r="AC224" s="2384"/>
      <c r="AD224" s="638"/>
      <c r="AE224" s="1169"/>
      <c r="AF224" s="1169"/>
      <c r="AG224" s="1645"/>
      <c r="AH224" s="1645"/>
      <c r="AI224" s="1645"/>
      <c r="AJ224" s="1645"/>
      <c r="AK224" s="1645"/>
      <c r="AL224" s="1645"/>
      <c r="AM224" s="1645"/>
      <c r="AN224" s="1645"/>
      <c r="AO224" s="1645"/>
      <c r="AP224" s="1645"/>
      <c r="AQ224" s="1645"/>
      <c r="AR224" s="1645"/>
      <c r="AS224" s="1645"/>
      <c r="AT224" s="1645"/>
      <c r="AU224" s="1645"/>
      <c r="AV224" s="1645"/>
      <c r="AW224" s="1645"/>
      <c r="AX224" s="1645"/>
      <c r="AY224" s="1645"/>
      <c r="AZ224" s="1645"/>
      <c r="BA224" s="1645"/>
      <c r="BB224" s="1645"/>
      <c r="BC224" s="1645"/>
      <c r="BD224" s="1645"/>
      <c r="BE224" s="1645"/>
      <c r="BF224" s="1645"/>
      <c r="BG224" s="1645"/>
      <c r="BH224" s="1645"/>
      <c r="BI224" s="1645"/>
      <c r="BJ224" s="1645"/>
      <c r="BK224" s="1645"/>
      <c r="BL224" s="1645"/>
      <c r="BM224" s="1645"/>
      <c r="BN224" s="1645"/>
      <c r="BO224" s="1645"/>
      <c r="BP224" s="1645"/>
      <c r="BQ224" s="1645"/>
      <c r="BR224" s="1645"/>
      <c r="BS224" s="1645"/>
      <c r="BT224" s="1645"/>
      <c r="BU224" s="1645"/>
      <c r="BV224" s="1169"/>
      <c r="BW224" s="1169"/>
      <c r="BX224" s="1169"/>
      <c r="BY224" s="1169"/>
      <c r="BZ224" s="1169"/>
      <c r="CA224" s="1169"/>
      <c r="CB224" s="1169"/>
      <c r="CC224" s="1169"/>
      <c r="CD224" s="1169"/>
      <c r="CE224" s="1169"/>
      <c r="CF224" s="1859"/>
    </row>
    <row customHeight="1" ht="11.25" hidden="1">
      <c r="A225" s="1802"/>
      <c r="B225" s="1645"/>
      <c r="C225" s="1645"/>
      <c r="D225" s="2588"/>
      <c r="E225" s="644"/>
      <c r="F225" s="644">
        <v>0</v>
      </c>
      <c r="G225" s="644"/>
      <c r="H225" s="644"/>
      <c r="I225" s="644"/>
      <c r="J225" s="644"/>
      <c r="K225" s="644"/>
      <c r="L225" s="644"/>
      <c r="M225" s="644"/>
      <c r="N225" s="644"/>
      <c r="O225" s="644"/>
      <c r="P225" s="644"/>
      <c r="Q225" s="644"/>
      <c r="R225" s="644"/>
      <c r="S225" s="645"/>
      <c r="T225" s="727"/>
      <c r="U225" s="2383"/>
      <c r="V225" s="2383"/>
      <c r="W225" s="1645"/>
      <c r="X225" s="1645"/>
      <c r="Y225" s="1645"/>
      <c r="Z225" s="1645"/>
      <c r="AA225" s="1645"/>
      <c r="AB225" s="1169"/>
      <c r="AC225" s="2384"/>
      <c r="AD225" s="638"/>
      <c r="AE225" s="1169"/>
      <c r="AF225" s="1169"/>
      <c r="AG225" s="1645"/>
      <c r="AH225" s="1645"/>
      <c r="AI225" s="1645"/>
      <c r="AJ225" s="1645"/>
      <c r="AK225" s="1645"/>
      <c r="AL225" s="1645"/>
      <c r="AM225" s="1645"/>
      <c r="AN225" s="1645"/>
      <c r="AO225" s="1645"/>
      <c r="AP225" s="1645"/>
      <c r="AQ225" s="1645"/>
      <c r="AR225" s="1645"/>
      <c r="AS225" s="1645"/>
      <c r="AT225" s="1645"/>
      <c r="AU225" s="1645"/>
      <c r="AV225" s="1645"/>
      <c r="AW225" s="1645"/>
      <c r="AX225" s="1645"/>
      <c r="AY225" s="1645"/>
      <c r="AZ225" s="1645"/>
      <c r="BA225" s="1645"/>
      <c r="BB225" s="1645"/>
      <c r="BC225" s="1645"/>
      <c r="BD225" s="1645"/>
      <c r="BE225" s="1645"/>
      <c r="BF225" s="1645"/>
      <c r="BG225" s="1645"/>
      <c r="BH225" s="1645"/>
      <c r="BI225" s="1645"/>
      <c r="BJ225" s="1645"/>
      <c r="BK225" s="1645"/>
      <c r="BL225" s="1645"/>
      <c r="BM225" s="1645"/>
      <c r="BN225" s="1645"/>
      <c r="BO225" s="1645"/>
      <c r="BP225" s="1645"/>
      <c r="BQ225" s="1645"/>
      <c r="BR225" s="1645"/>
      <c r="BS225" s="1645"/>
      <c r="BT225" s="1645"/>
      <c r="BU225" s="1645"/>
      <c r="BV225" s="1645"/>
      <c r="BW225" s="1645"/>
      <c r="BX225" s="1645"/>
      <c r="BY225" s="1645"/>
      <c r="BZ225" s="1645"/>
      <c r="CA225" s="1645"/>
      <c r="CB225" s="1645"/>
      <c r="CC225" s="1645"/>
      <c r="CD225" s="1645"/>
      <c r="CE225" s="1645"/>
      <c r="CF225" s="1859"/>
    </row>
    <row customHeight="1" ht="11.25" hidden="1">
      <c r="A226" s="1815"/>
      <c r="B226" s="1169"/>
      <c r="C226" s="421"/>
      <c r="D226" s="2588"/>
      <c r="E226" s="658" t="s">
        <v>22</v>
      </c>
      <c r="F226" s="1177" t="s">
        <v>22</v>
      </c>
      <c r="G226" s="1177" t="s">
        <v>688</v>
      </c>
      <c r="H226" s="660" t="s">
        <v>22</v>
      </c>
      <c r="I226" s="660"/>
      <c r="J226" s="660"/>
      <c r="K226" s="660"/>
      <c r="L226" s="660"/>
      <c r="M226" s="660"/>
      <c r="N226" s="660"/>
      <c r="O226" s="660"/>
      <c r="P226" s="660"/>
      <c r="Q226" s="660"/>
      <c r="R226" s="661"/>
      <c r="S226" s="662"/>
      <c r="T226" s="727"/>
      <c r="U226" s="2383"/>
      <c r="V226" s="2383"/>
      <c r="W226" s="1169"/>
      <c r="X226" s="1169"/>
      <c r="Y226" s="1169"/>
      <c r="Z226" s="1169"/>
      <c r="AA226" s="1645"/>
      <c r="AB226" s="1169"/>
      <c r="AC226" s="2384"/>
      <c r="AD226" s="638"/>
      <c r="AE226" s="1169"/>
      <c r="AF226" s="1169"/>
      <c r="AG226" s="1645"/>
      <c r="AH226" s="1645"/>
      <c r="AI226" s="1645"/>
      <c r="AJ226" s="1645"/>
      <c r="AK226" s="1645"/>
      <c r="AL226" s="1645"/>
      <c r="AM226" s="1645"/>
      <c r="AN226" s="1645"/>
      <c r="AO226" s="1645"/>
      <c r="AP226" s="1645"/>
      <c r="AQ226" s="1645"/>
      <c r="AR226" s="1645"/>
      <c r="AS226" s="1645"/>
      <c r="AT226" s="1645"/>
      <c r="AU226" s="1645"/>
      <c r="AV226" s="1645"/>
      <c r="AW226" s="1645"/>
      <c r="AX226" s="1645"/>
      <c r="AY226" s="1645"/>
      <c r="AZ226" s="1645"/>
      <c r="BA226" s="1645"/>
      <c r="BB226" s="1645"/>
      <c r="BC226" s="1645"/>
      <c r="BD226" s="1645"/>
      <c r="BE226" s="1645"/>
      <c r="BF226" s="1645"/>
      <c r="BG226" s="1645"/>
      <c r="BH226" s="1645"/>
      <c r="BI226" s="1645"/>
      <c r="BJ226" s="1645"/>
      <c r="BK226" s="1645"/>
      <c r="BL226" s="1645"/>
      <c r="BM226" s="1645"/>
      <c r="BN226" s="1645"/>
      <c r="BO226" s="1645"/>
      <c r="BP226" s="1645"/>
      <c r="BQ226" s="1645"/>
      <c r="BR226" s="1645"/>
      <c r="BS226" s="1645"/>
      <c r="BT226" s="1645"/>
      <c r="BU226" s="1645"/>
      <c r="BV226" s="1169"/>
      <c r="BW226" s="1169"/>
      <c r="BX226" s="1169"/>
      <c r="BY226" s="1169"/>
      <c r="BZ226" s="1169"/>
      <c r="CA226" s="1169"/>
      <c r="CB226" s="1169"/>
      <c r="CC226" s="1169"/>
      <c r="CD226" s="1169"/>
      <c r="CE226" s="1169"/>
      <c r="CF226" s="1859"/>
    </row>
    <row customHeight="1" ht="5.25" hidden="1">
      <c r="A227" s="1802"/>
      <c r="B227" s="1645"/>
      <c r="C227" s="1645"/>
      <c r="D227" s="2588"/>
      <c r="E227" s="1048"/>
      <c r="F227" s="1048"/>
      <c r="G227" s="1048"/>
      <c r="H227" s="1048"/>
      <c r="I227" s="1048"/>
      <c r="J227" s="1048"/>
      <c r="K227" s="1048"/>
      <c r="L227" s="1048"/>
      <c r="M227" s="1048"/>
      <c r="N227" s="1048"/>
      <c r="O227" s="1048"/>
      <c r="P227" s="1048"/>
      <c r="Q227" s="1049"/>
      <c r="R227" s="1050"/>
      <c r="S227" s="1051"/>
      <c r="T227" s="726" t="s">
        <v>685</v>
      </c>
      <c r="U227" s="2383">
        <v>1</v>
      </c>
      <c r="V227" s="2383" t="s">
        <v>648</v>
      </c>
      <c r="W227" s="1645"/>
      <c r="X227" s="1645"/>
      <c r="Y227" s="1645"/>
      <c r="Z227" s="1645"/>
      <c r="AA227" s="1645"/>
      <c r="AB227" s="1645"/>
      <c r="AC227" s="1046"/>
      <c r="AD227" s="1047"/>
      <c r="AE227" s="1645"/>
      <c r="AF227" s="1645"/>
      <c r="AG227" s="1645"/>
      <c r="AH227" s="1645"/>
      <c r="AI227" s="1645"/>
      <c r="AJ227" s="1645"/>
      <c r="AK227" s="1645"/>
      <c r="AL227" s="1645"/>
      <c r="AM227" s="1645"/>
      <c r="AN227" s="1645"/>
      <c r="AO227" s="1645"/>
      <c r="AP227" s="1645"/>
      <c r="AQ227" s="1645"/>
      <c r="AR227" s="1645"/>
      <c r="AS227" s="1645"/>
      <c r="AT227" s="1645"/>
      <c r="AU227" s="1645"/>
      <c r="AV227" s="1645"/>
      <c r="AW227" s="1645"/>
      <c r="AX227" s="1645"/>
      <c r="AY227" s="1645"/>
      <c r="AZ227" s="1645"/>
      <c r="BA227" s="1645"/>
      <c r="BB227" s="1645"/>
      <c r="BC227" s="1645"/>
      <c r="BD227" s="1645"/>
      <c r="BE227" s="1645"/>
      <c r="BF227" s="1645"/>
      <c r="BG227" s="1645"/>
      <c r="BH227" s="1645"/>
      <c r="BI227" s="1645"/>
      <c r="BJ227" s="1645"/>
      <c r="BK227" s="1645"/>
      <c r="BL227" s="1645"/>
      <c r="BM227" s="1645"/>
      <c r="BN227" s="1645"/>
      <c r="BO227" s="1645"/>
      <c r="BP227" s="1645"/>
      <c r="BQ227" s="1645"/>
      <c r="BR227" s="1645"/>
      <c r="BS227" s="1645"/>
      <c r="BT227" s="1645"/>
      <c r="BU227" s="1645"/>
      <c r="BV227" s="1645"/>
      <c r="BW227" s="1645"/>
      <c r="BX227" s="1645"/>
      <c r="BY227" s="1645"/>
      <c r="BZ227" s="1645"/>
      <c r="CA227" s="1645"/>
      <c r="CB227" s="1645"/>
      <c r="CC227" s="1645"/>
      <c r="CD227" s="1645"/>
      <c r="CE227" s="1645"/>
      <c r="CF227" s="1325"/>
    </row>
    <row customHeight="1" ht="5.25" hidden="1">
      <c r="A228" s="1802"/>
      <c r="B228" s="1645"/>
      <c r="C228" s="1645"/>
      <c r="D228" s="2588"/>
      <c r="E228" s="644"/>
      <c r="F228" s="644"/>
      <c r="G228" s="644"/>
      <c r="H228" s="644"/>
      <c r="I228" s="644"/>
      <c r="J228" s="644"/>
      <c r="K228" s="644"/>
      <c r="L228" s="644"/>
      <c r="M228" s="644"/>
      <c r="N228" s="644"/>
      <c r="O228" s="644"/>
      <c r="P228" s="644"/>
      <c r="Q228" s="644"/>
      <c r="R228" s="644"/>
      <c r="S228" s="645"/>
      <c r="T228" s="727"/>
      <c r="U228" s="2383"/>
      <c r="V228" s="2383"/>
      <c r="W228" s="1645"/>
      <c r="X228" s="1645"/>
      <c r="Y228" s="1645"/>
      <c r="Z228" s="1645"/>
      <c r="AA228" s="1645"/>
      <c r="AB228" s="1645"/>
      <c r="AC228" s="1046"/>
      <c r="AD228" s="1047"/>
      <c r="AE228" s="1645"/>
      <c r="AF228" s="1645"/>
      <c r="AG228" s="1645"/>
      <c r="AH228" s="1645"/>
      <c r="AI228" s="1645"/>
      <c r="AJ228" s="1645"/>
      <c r="AK228" s="1645"/>
      <c r="AL228" s="1645"/>
      <c r="AM228" s="1645"/>
      <c r="AN228" s="1645"/>
      <c r="AO228" s="1645"/>
      <c r="AP228" s="1645"/>
      <c r="AQ228" s="1645"/>
      <c r="AR228" s="1645"/>
      <c r="AS228" s="1645"/>
      <c r="AT228" s="1645"/>
      <c r="AU228" s="1645"/>
      <c r="AV228" s="1645"/>
      <c r="AW228" s="1645"/>
      <c r="AX228" s="1645"/>
      <c r="AY228" s="1645"/>
      <c r="AZ228" s="1645"/>
      <c r="BA228" s="1645"/>
      <c r="BB228" s="1645"/>
      <c r="BC228" s="1645"/>
      <c r="BD228" s="1645"/>
      <c r="BE228" s="1645"/>
      <c r="BF228" s="1645"/>
      <c r="BG228" s="1645"/>
      <c r="BH228" s="1645"/>
      <c r="BI228" s="1645"/>
      <c r="BJ228" s="1645"/>
      <c r="BK228" s="1645"/>
      <c r="BL228" s="1645"/>
      <c r="BM228" s="1645"/>
      <c r="BN228" s="1645"/>
      <c r="BO228" s="1645"/>
      <c r="BP228" s="1645"/>
      <c r="BQ228" s="1645"/>
      <c r="BR228" s="1645"/>
      <c r="BS228" s="1645"/>
      <c r="BT228" s="1645"/>
      <c r="BU228" s="1645"/>
      <c r="BV228" s="1645"/>
      <c r="BW228" s="1645"/>
      <c r="BX228" s="1645"/>
      <c r="BY228" s="1645"/>
      <c r="BZ228" s="1645"/>
      <c r="CA228" s="1645"/>
      <c r="CB228" s="1645"/>
      <c r="CC228" s="1645"/>
      <c r="CD228" s="1645"/>
      <c r="CE228" s="1645"/>
      <c r="CF228" s="1325"/>
    </row>
    <row customHeight="1" ht="5.25" hidden="1">
      <c r="A229" s="1802"/>
      <c r="B229" s="1645"/>
      <c r="C229" s="1645"/>
      <c r="D229" s="2589"/>
      <c r="E229" s="1052"/>
      <c r="F229" s="1053"/>
      <c r="G229" s="1053"/>
      <c r="H229" s="1054"/>
      <c r="I229" s="1054"/>
      <c r="J229" s="1054"/>
      <c r="K229" s="1054"/>
      <c r="L229" s="1054"/>
      <c r="M229" s="1054"/>
      <c r="N229" s="1054"/>
      <c r="O229" s="1054"/>
      <c r="P229" s="1054"/>
      <c r="Q229" s="1054"/>
      <c r="R229" s="955"/>
      <c r="S229" s="1055"/>
      <c r="T229" s="727"/>
      <c r="U229" s="2383"/>
      <c r="V229" s="2383"/>
      <c r="W229" s="1645"/>
      <c r="X229" s="1645"/>
      <c r="Y229" s="1645"/>
      <c r="Z229" s="1645"/>
      <c r="AA229" s="1645"/>
      <c r="AB229" s="1645"/>
      <c r="AC229" s="1046"/>
      <c r="AD229" s="1047"/>
      <c r="AE229" s="1645"/>
      <c r="AF229" s="1645"/>
      <c r="AG229" s="1645"/>
      <c r="AH229" s="1645"/>
      <c r="AI229" s="1645"/>
      <c r="AJ229" s="1645"/>
      <c r="AK229" s="1645"/>
      <c r="AL229" s="1645"/>
      <c r="AM229" s="1645"/>
      <c r="AN229" s="1645"/>
      <c r="AO229" s="1645"/>
      <c r="AP229" s="1645"/>
      <c r="AQ229" s="1645"/>
      <c r="AR229" s="1645"/>
      <c r="AS229" s="1645"/>
      <c r="AT229" s="1645"/>
      <c r="AU229" s="1645"/>
      <c r="AV229" s="1645"/>
      <c r="AW229" s="1645"/>
      <c r="AX229" s="1645"/>
      <c r="AY229" s="1645"/>
      <c r="AZ229" s="1645"/>
      <c r="BA229" s="1645"/>
      <c r="BB229" s="1645"/>
      <c r="BC229" s="1645"/>
      <c r="BD229" s="1645"/>
      <c r="BE229" s="1645"/>
      <c r="BF229" s="1645"/>
      <c r="BG229" s="1645"/>
      <c r="BH229" s="1645"/>
      <c r="BI229" s="1645"/>
      <c r="BJ229" s="1645"/>
      <c r="BK229" s="1645"/>
      <c r="BL229" s="1645"/>
      <c r="BM229" s="1645"/>
      <c r="BN229" s="1645"/>
      <c r="BO229" s="1645"/>
      <c r="BP229" s="1645"/>
      <c r="BQ229" s="1645"/>
      <c r="BR229" s="1645"/>
      <c r="BS229" s="1645"/>
      <c r="BT229" s="1645"/>
      <c r="BU229" s="1645"/>
      <c r="BV229" s="1645"/>
      <c r="BW229" s="1645"/>
      <c r="BX229" s="1645"/>
      <c r="BY229" s="1645"/>
      <c r="BZ229" s="1645"/>
      <c r="CA229" s="1645"/>
      <c r="CB229" s="1645"/>
      <c r="CC229" s="1645"/>
      <c r="CD229" s="1645"/>
      <c r="CE229" s="1645"/>
      <c r="CF229" s="1325"/>
    </row>
    <row customHeight="1" ht="15" hidden="1">
      <c r="A230" s="632" t="s">
        <v>186</v>
      </c>
      <c r="B230" s="633"/>
      <c r="C230" s="633" t="s">
        <v>22</v>
      </c>
      <c r="D230" s="2587" t="s">
        <v>711</v>
      </c>
      <c r="E230" s="2386" t="s">
        <v>105</v>
      </c>
      <c r="F230" s="2387"/>
      <c r="G230" s="2388"/>
      <c r="H230" s="2392" t="str">
        <f>IF(A230="","",INDEX(DIFFERENTIATION_UNMERGE_VD,MATCH(A230,DIFFERENTIATION_ID_DIFF,0)))</f>
        <v>Производство тепловой энергии. Некомбинированная выработка</v>
      </c>
      <c r="I230" s="2392"/>
      <c r="J230" s="2392"/>
      <c r="K230" s="2392"/>
      <c r="L230" s="2392"/>
      <c r="M230" s="2392"/>
      <c r="N230" s="2392"/>
      <c r="O230" s="2392"/>
      <c r="P230" s="2392"/>
      <c r="Q230" s="2392"/>
      <c r="R230" s="2392"/>
      <c r="S230" s="728"/>
      <c r="T230" s="725"/>
      <c r="U230" s="634"/>
      <c r="V230" s="634"/>
      <c r="W230" s="635"/>
      <c r="X230" s="635"/>
      <c r="Y230" s="635"/>
      <c r="Z230" s="635"/>
      <c r="AA230" s="636"/>
      <c r="AB230" s="637"/>
      <c r="AC230" s="2384"/>
      <c r="AD230" s="638"/>
      <c r="AE230" s="639" t="s">
        <v>22</v>
      </c>
      <c r="AF230" s="639"/>
      <c r="AG230" s="640" t="s">
        <v>682</v>
      </c>
      <c r="AH230" s="641">
        <v>3</v>
      </c>
      <c r="AI230" s="634"/>
      <c r="AJ230" s="634"/>
      <c r="AK230" s="634"/>
      <c r="AL230" s="634"/>
      <c r="AM230" s="634"/>
      <c r="AN230" s="634"/>
      <c r="AO230" s="634"/>
      <c r="AP230" s="634"/>
      <c r="AQ230" s="634"/>
      <c r="AR230" s="634"/>
      <c r="AS230" s="634"/>
      <c r="AT230" s="634"/>
      <c r="AU230" s="634"/>
      <c r="AV230" s="634"/>
      <c r="AW230" s="634"/>
      <c r="AX230" s="634"/>
      <c r="AY230" s="634"/>
      <c r="AZ230" s="634"/>
      <c r="BA230" s="634"/>
      <c r="BB230" s="634"/>
      <c r="BC230" s="634"/>
      <c r="BD230" s="634"/>
      <c r="BE230" s="634"/>
      <c r="BF230" s="634"/>
      <c r="BG230" s="634"/>
      <c r="BH230" s="634"/>
      <c r="BI230" s="634"/>
      <c r="BJ230" s="634"/>
      <c r="BK230" s="634"/>
      <c r="BL230" s="634"/>
      <c r="BM230" s="634"/>
      <c r="BN230" s="634"/>
      <c r="BO230" s="634"/>
      <c r="BP230" s="634"/>
      <c r="BQ230" s="634"/>
      <c r="BR230" s="634"/>
      <c r="BS230" s="634"/>
      <c r="BT230" s="634"/>
      <c r="BU230" s="634"/>
      <c r="BV230" s="635"/>
      <c r="BW230" s="635"/>
      <c r="BX230" s="635"/>
      <c r="BY230" s="635"/>
      <c r="BZ230" s="635"/>
      <c r="CA230" s="635"/>
      <c r="CB230" s="635"/>
      <c r="CC230" s="635"/>
      <c r="CD230" s="635"/>
      <c r="CE230" s="635"/>
      <c r="CF230" s="1859"/>
    </row>
    <row customHeight="1" ht="15" hidden="1">
      <c r="A231" s="632"/>
      <c r="B231" s="633"/>
      <c r="C231" s="633"/>
      <c r="D231" s="2588"/>
      <c r="E231" s="2386" t="s">
        <v>637</v>
      </c>
      <c r="F231" s="2387"/>
      <c r="G231" s="2388"/>
      <c r="H231" s="2392" t="str">
        <f>IF(A230="","",INDEX(DIFFERENTIATION_UNMERGE_AREA,MATCH(A230,DIFFERENTIATION_ID_DIFF,0)))</f>
        <v>Территория 1</v>
      </c>
      <c r="I231" s="2392"/>
      <c r="J231" s="2392"/>
      <c r="K231" s="2392"/>
      <c r="L231" s="2392"/>
      <c r="M231" s="2392"/>
      <c r="N231" s="2392"/>
      <c r="O231" s="2392"/>
      <c r="P231" s="2392"/>
      <c r="Q231" s="2392"/>
      <c r="R231" s="2392"/>
      <c r="S231" s="728"/>
      <c r="T231" s="725"/>
      <c r="U231" s="634"/>
      <c r="V231" s="634"/>
      <c r="W231" s="635"/>
      <c r="X231" s="635"/>
      <c r="Y231" s="635"/>
      <c r="Z231" s="635"/>
      <c r="AA231" s="636"/>
      <c r="AB231" s="637"/>
      <c r="AC231" s="2384"/>
      <c r="AD231" s="638"/>
      <c r="AE231" s="639"/>
      <c r="AF231" s="639"/>
      <c r="AG231" s="640"/>
      <c r="AH231" s="641"/>
      <c r="AI231" s="634"/>
      <c r="AJ231" s="634"/>
      <c r="AK231" s="634"/>
      <c r="AL231" s="634"/>
      <c r="AM231" s="634"/>
      <c r="AN231" s="634"/>
      <c r="AO231" s="634"/>
      <c r="AP231" s="634"/>
      <c r="AQ231" s="634"/>
      <c r="AR231" s="634"/>
      <c r="AS231" s="634"/>
      <c r="AT231" s="634"/>
      <c r="AU231" s="634"/>
      <c r="AV231" s="634"/>
      <c r="AW231" s="634"/>
      <c r="AX231" s="634"/>
      <c r="AY231" s="634"/>
      <c r="AZ231" s="634"/>
      <c r="BA231" s="634"/>
      <c r="BB231" s="634"/>
      <c r="BC231" s="634"/>
      <c r="BD231" s="634"/>
      <c r="BE231" s="634"/>
      <c r="BF231" s="634"/>
      <c r="BG231" s="634"/>
      <c r="BH231" s="634"/>
      <c r="BI231" s="634"/>
      <c r="BJ231" s="634"/>
      <c r="BK231" s="634"/>
      <c r="BL231" s="634"/>
      <c r="BM231" s="634"/>
      <c r="BN231" s="634"/>
      <c r="BO231" s="634"/>
      <c r="BP231" s="634"/>
      <c r="BQ231" s="634"/>
      <c r="BR231" s="634"/>
      <c r="BS231" s="634"/>
      <c r="BT231" s="634"/>
      <c r="BU231" s="634"/>
      <c r="BV231" s="635"/>
      <c r="BW231" s="635"/>
      <c r="BX231" s="635"/>
      <c r="BY231" s="635"/>
      <c r="BZ231" s="635"/>
      <c r="CA231" s="635"/>
      <c r="CB231" s="635"/>
      <c r="CC231" s="635"/>
      <c r="CD231" s="635"/>
      <c r="CE231" s="635"/>
      <c r="CF231" s="1859"/>
    </row>
    <row customHeight="1" ht="15" hidden="1">
      <c r="A232" s="632"/>
      <c r="B232" s="633"/>
      <c r="C232" s="633"/>
      <c r="D232" s="2588"/>
      <c r="E232" s="2386" t="s">
        <v>638</v>
      </c>
      <c r="F232" s="2387"/>
      <c r="G232" s="2388"/>
      <c r="H232" s="2392" t="str">
        <f>IF(A230="","",INDEX(DIFFERENTIATION_UNMERGE_SYSTEM,MATCH(A230,DIFFERENTIATION_ID_DIFF,0)))</f>
        <v>ЦТП-7, ул.Оборонная</v>
      </c>
      <c r="I232" s="2392"/>
      <c r="J232" s="2392"/>
      <c r="K232" s="2392"/>
      <c r="L232" s="2392"/>
      <c r="M232" s="2392"/>
      <c r="N232" s="2392"/>
      <c r="O232" s="2392"/>
      <c r="P232" s="2392"/>
      <c r="Q232" s="2392"/>
      <c r="R232" s="2392"/>
      <c r="S232" s="728"/>
      <c r="T232" s="725"/>
      <c r="U232" s="634"/>
      <c r="V232" s="634"/>
      <c r="W232" s="635"/>
      <c r="X232" s="635"/>
      <c r="Y232" s="635"/>
      <c r="Z232" s="635"/>
      <c r="AA232" s="636"/>
      <c r="AB232" s="637"/>
      <c r="AC232" s="2384"/>
      <c r="AD232" s="638"/>
      <c r="AE232" s="639"/>
      <c r="AF232" s="639"/>
      <c r="AG232" s="640"/>
      <c r="AH232" s="641"/>
      <c r="AI232" s="634"/>
      <c r="AJ232" s="634"/>
      <c r="AK232" s="634"/>
      <c r="AL232" s="634"/>
      <c r="AM232" s="634"/>
      <c r="AN232" s="634"/>
      <c r="AO232" s="634"/>
      <c r="AP232" s="634"/>
      <c r="AQ232" s="634"/>
      <c r="AR232" s="634"/>
      <c r="AS232" s="634"/>
      <c r="AT232" s="634"/>
      <c r="AU232" s="634"/>
      <c r="AV232" s="634"/>
      <c r="AW232" s="634"/>
      <c r="AX232" s="634"/>
      <c r="AY232" s="634"/>
      <c r="AZ232" s="634"/>
      <c r="BA232" s="634"/>
      <c r="BB232" s="634"/>
      <c r="BC232" s="634"/>
      <c r="BD232" s="634"/>
      <c r="BE232" s="634"/>
      <c r="BF232" s="634"/>
      <c r="BG232" s="634"/>
      <c r="BH232" s="634"/>
      <c r="BI232" s="634"/>
      <c r="BJ232" s="634"/>
      <c r="BK232" s="634"/>
      <c r="BL232" s="634"/>
      <c r="BM232" s="634"/>
      <c r="BN232" s="634"/>
      <c r="BO232" s="634"/>
      <c r="BP232" s="634"/>
      <c r="BQ232" s="634"/>
      <c r="BR232" s="634"/>
      <c r="BS232" s="634"/>
      <c r="BT232" s="634"/>
      <c r="BU232" s="634"/>
      <c r="BV232" s="635"/>
      <c r="BW232" s="635"/>
      <c r="BX232" s="635"/>
      <c r="BY232" s="635"/>
      <c r="BZ232" s="635"/>
      <c r="CA232" s="635"/>
      <c r="CB232" s="635"/>
      <c r="CC232" s="635"/>
      <c r="CD232" s="635"/>
      <c r="CE232" s="635"/>
      <c r="CF232" s="1859"/>
    </row>
    <row customHeight="1" ht="24.75" hidden="1">
      <c r="A233" s="1815"/>
      <c r="B233" s="1169"/>
      <c r="C233" s="421"/>
      <c r="D233" s="2588"/>
      <c r="E233" s="2385" t="s">
        <v>683</v>
      </c>
      <c r="F233" s="2385"/>
      <c r="G233" s="2385"/>
      <c r="H233" s="2385"/>
      <c r="I233" s="2385"/>
      <c r="J233" s="2385"/>
      <c r="K233" s="2385"/>
      <c r="L233" s="2385"/>
      <c r="M233" s="2385"/>
      <c r="N233" s="2385"/>
      <c r="O233" s="2385"/>
      <c r="P233" s="2385"/>
      <c r="Q233" s="567">
        <f>SUMIF(T234:T235,"i",Q234:Q235)</f>
        <v>0</v>
      </c>
      <c r="R233" s="1026"/>
      <c r="S233" s="1807" t="s">
        <v>684</v>
      </c>
      <c r="T233" s="726" t="s">
        <v>685</v>
      </c>
      <c r="U233" s="2383">
        <v>1</v>
      </c>
      <c r="V233" s="2383" t="s">
        <v>648</v>
      </c>
      <c r="W233" s="1169"/>
      <c r="X233" s="1169"/>
      <c r="Y233" s="1169"/>
      <c r="Z233" s="1169"/>
      <c r="AA233" s="1645"/>
      <c r="AB233" s="1169"/>
      <c r="AC233" s="2384"/>
      <c r="AD233" s="638"/>
      <c r="AE233" s="1169"/>
      <c r="AF233" s="1169"/>
      <c r="AG233" s="1645"/>
      <c r="AH233" s="1645"/>
      <c r="AI233" s="1645"/>
      <c r="AJ233" s="1645"/>
      <c r="AK233" s="1645"/>
      <c r="AL233" s="1645"/>
      <c r="AM233" s="1645"/>
      <c r="AN233" s="1645"/>
      <c r="AO233" s="1645"/>
      <c r="AP233" s="1645"/>
      <c r="AQ233" s="1645"/>
      <c r="AR233" s="1645"/>
      <c r="AS233" s="1645"/>
      <c r="AT233" s="1645"/>
      <c r="AU233" s="1645"/>
      <c r="AV233" s="1645"/>
      <c r="AW233" s="1645"/>
      <c r="AX233" s="1645"/>
      <c r="AY233" s="1645"/>
      <c r="AZ233" s="1645"/>
      <c r="BA233" s="1645"/>
      <c r="BB233" s="1645"/>
      <c r="BC233" s="1645"/>
      <c r="BD233" s="1645"/>
      <c r="BE233" s="1645"/>
      <c r="BF233" s="1645"/>
      <c r="BG233" s="1645"/>
      <c r="BH233" s="1645"/>
      <c r="BI233" s="1645"/>
      <c r="BJ233" s="1645"/>
      <c r="BK233" s="1645"/>
      <c r="BL233" s="1645"/>
      <c r="BM233" s="1645"/>
      <c r="BN233" s="1645"/>
      <c r="BO233" s="1645"/>
      <c r="BP233" s="1645"/>
      <c r="BQ233" s="1645"/>
      <c r="BR233" s="1645"/>
      <c r="BS233" s="1645"/>
      <c r="BT233" s="1645"/>
      <c r="BU233" s="1645"/>
      <c r="BV233" s="1169"/>
      <c r="BW233" s="1169"/>
      <c r="BX233" s="1169"/>
      <c r="BY233" s="1169"/>
      <c r="BZ233" s="1169"/>
      <c r="CA233" s="1169"/>
      <c r="CB233" s="1169"/>
      <c r="CC233" s="1169"/>
      <c r="CD233" s="1169"/>
      <c r="CE233" s="1169"/>
      <c r="CF233" s="1859"/>
    </row>
    <row customHeight="1" ht="11.25" hidden="1">
      <c r="A234" s="1802"/>
      <c r="B234" s="1645"/>
      <c r="C234" s="1645"/>
      <c r="D234" s="2588"/>
      <c r="E234" s="644"/>
      <c r="F234" s="644">
        <v>0</v>
      </c>
      <c r="G234" s="644"/>
      <c r="H234" s="644"/>
      <c r="I234" s="644"/>
      <c r="J234" s="644"/>
      <c r="K234" s="644"/>
      <c r="L234" s="644"/>
      <c r="M234" s="644"/>
      <c r="N234" s="644"/>
      <c r="O234" s="644"/>
      <c r="P234" s="644"/>
      <c r="Q234" s="644"/>
      <c r="R234" s="644"/>
      <c r="S234" s="645"/>
      <c r="T234" s="727"/>
      <c r="U234" s="2383"/>
      <c r="V234" s="2383"/>
      <c r="W234" s="1645"/>
      <c r="X234" s="1645"/>
      <c r="Y234" s="1645"/>
      <c r="Z234" s="1645"/>
      <c r="AA234" s="1645"/>
      <c r="AB234" s="1169"/>
      <c r="AC234" s="2384"/>
      <c r="AD234" s="638"/>
      <c r="AE234" s="1169"/>
      <c r="AF234" s="1169"/>
      <c r="AG234" s="1645"/>
      <c r="AH234" s="1645"/>
      <c r="AI234" s="1645"/>
      <c r="AJ234" s="1645"/>
      <c r="AK234" s="1645"/>
      <c r="AL234" s="1645"/>
      <c r="AM234" s="1645"/>
      <c r="AN234" s="1645"/>
      <c r="AO234" s="1645"/>
      <c r="AP234" s="1645"/>
      <c r="AQ234" s="1645"/>
      <c r="AR234" s="1645"/>
      <c r="AS234" s="1645"/>
      <c r="AT234" s="1645"/>
      <c r="AU234" s="1645"/>
      <c r="AV234" s="1645"/>
      <c r="AW234" s="1645"/>
      <c r="AX234" s="1645"/>
      <c r="AY234" s="1645"/>
      <c r="AZ234" s="1645"/>
      <c r="BA234" s="1645"/>
      <c r="BB234" s="1645"/>
      <c r="BC234" s="1645"/>
      <c r="BD234" s="1645"/>
      <c r="BE234" s="1645"/>
      <c r="BF234" s="1645"/>
      <c r="BG234" s="1645"/>
      <c r="BH234" s="1645"/>
      <c r="BI234" s="1645"/>
      <c r="BJ234" s="1645"/>
      <c r="BK234" s="1645"/>
      <c r="BL234" s="1645"/>
      <c r="BM234" s="1645"/>
      <c r="BN234" s="1645"/>
      <c r="BO234" s="1645"/>
      <c r="BP234" s="1645"/>
      <c r="BQ234" s="1645"/>
      <c r="BR234" s="1645"/>
      <c r="BS234" s="1645"/>
      <c r="BT234" s="1645"/>
      <c r="BU234" s="1645"/>
      <c r="BV234" s="1645"/>
      <c r="BW234" s="1645"/>
      <c r="BX234" s="1645"/>
      <c r="BY234" s="1645"/>
      <c r="BZ234" s="1645"/>
      <c r="CA234" s="1645"/>
      <c r="CB234" s="1645"/>
      <c r="CC234" s="1645"/>
      <c r="CD234" s="1645"/>
      <c r="CE234" s="1645"/>
      <c r="CF234" s="1859"/>
    </row>
    <row customHeight="1" ht="11.25" hidden="1">
      <c r="A235" s="1815"/>
      <c r="B235" s="1169"/>
      <c r="C235" s="421"/>
      <c r="D235" s="2588"/>
      <c r="E235" s="658" t="s">
        <v>22</v>
      </c>
      <c r="F235" s="1177" t="s">
        <v>22</v>
      </c>
      <c r="G235" s="1177" t="s">
        <v>688</v>
      </c>
      <c r="H235" s="660" t="s">
        <v>22</v>
      </c>
      <c r="I235" s="660"/>
      <c r="J235" s="660"/>
      <c r="K235" s="660"/>
      <c r="L235" s="660"/>
      <c r="M235" s="660"/>
      <c r="N235" s="660"/>
      <c r="O235" s="660"/>
      <c r="P235" s="660"/>
      <c r="Q235" s="660"/>
      <c r="R235" s="661"/>
      <c r="S235" s="662"/>
      <c r="T235" s="727"/>
      <c r="U235" s="2383"/>
      <c r="V235" s="2383"/>
      <c r="W235" s="1169"/>
      <c r="X235" s="1169"/>
      <c r="Y235" s="1169"/>
      <c r="Z235" s="1169"/>
      <c r="AA235" s="1645"/>
      <c r="AB235" s="1169"/>
      <c r="AC235" s="2384"/>
      <c r="AD235" s="638"/>
      <c r="AE235" s="1169"/>
      <c r="AF235" s="1169"/>
      <c r="AG235" s="1645"/>
      <c r="AH235" s="1645"/>
      <c r="AI235" s="1645"/>
      <c r="AJ235" s="1645"/>
      <c r="AK235" s="1645"/>
      <c r="AL235" s="1645"/>
      <c r="AM235" s="1645"/>
      <c r="AN235" s="1645"/>
      <c r="AO235" s="1645"/>
      <c r="AP235" s="1645"/>
      <c r="AQ235" s="1645"/>
      <c r="AR235" s="1645"/>
      <c r="AS235" s="1645"/>
      <c r="AT235" s="1645"/>
      <c r="AU235" s="1645"/>
      <c r="AV235" s="1645"/>
      <c r="AW235" s="1645"/>
      <c r="AX235" s="1645"/>
      <c r="AY235" s="1645"/>
      <c r="AZ235" s="1645"/>
      <c r="BA235" s="1645"/>
      <c r="BB235" s="1645"/>
      <c r="BC235" s="1645"/>
      <c r="BD235" s="1645"/>
      <c r="BE235" s="1645"/>
      <c r="BF235" s="1645"/>
      <c r="BG235" s="1645"/>
      <c r="BH235" s="1645"/>
      <c r="BI235" s="1645"/>
      <c r="BJ235" s="1645"/>
      <c r="BK235" s="1645"/>
      <c r="BL235" s="1645"/>
      <c r="BM235" s="1645"/>
      <c r="BN235" s="1645"/>
      <c r="BO235" s="1645"/>
      <c r="BP235" s="1645"/>
      <c r="BQ235" s="1645"/>
      <c r="BR235" s="1645"/>
      <c r="BS235" s="1645"/>
      <c r="BT235" s="1645"/>
      <c r="BU235" s="1645"/>
      <c r="BV235" s="1169"/>
      <c r="BW235" s="1169"/>
      <c r="BX235" s="1169"/>
      <c r="BY235" s="1169"/>
      <c r="BZ235" s="1169"/>
      <c r="CA235" s="1169"/>
      <c r="CB235" s="1169"/>
      <c r="CC235" s="1169"/>
      <c r="CD235" s="1169"/>
      <c r="CE235" s="1169"/>
      <c r="CF235" s="1859"/>
    </row>
    <row customHeight="1" ht="5.25" hidden="1">
      <c r="A236" s="1802"/>
      <c r="B236" s="1645"/>
      <c r="C236" s="1645"/>
      <c r="D236" s="2588"/>
      <c r="E236" s="1048"/>
      <c r="F236" s="1048"/>
      <c r="G236" s="1048"/>
      <c r="H236" s="1048"/>
      <c r="I236" s="1048"/>
      <c r="J236" s="1048"/>
      <c r="K236" s="1048"/>
      <c r="L236" s="1048"/>
      <c r="M236" s="1048"/>
      <c r="N236" s="1048"/>
      <c r="O236" s="1048"/>
      <c r="P236" s="1048"/>
      <c r="Q236" s="1049"/>
      <c r="R236" s="1050"/>
      <c r="S236" s="1051"/>
      <c r="T236" s="726" t="s">
        <v>685</v>
      </c>
      <c r="U236" s="2383">
        <v>1</v>
      </c>
      <c r="V236" s="2383" t="s">
        <v>648</v>
      </c>
      <c r="W236" s="1645"/>
      <c r="X236" s="1645"/>
      <c r="Y236" s="1645"/>
      <c r="Z236" s="1645"/>
      <c r="AA236" s="1645"/>
      <c r="AB236" s="1645"/>
      <c r="AC236" s="1046"/>
      <c r="AD236" s="1047"/>
      <c r="AE236" s="1645"/>
      <c r="AF236" s="1645"/>
      <c r="AG236" s="1645"/>
      <c r="AH236" s="1645"/>
      <c r="AI236" s="1645"/>
      <c r="AJ236" s="1645"/>
      <c r="AK236" s="1645"/>
      <c r="AL236" s="1645"/>
      <c r="AM236" s="1645"/>
      <c r="AN236" s="1645"/>
      <c r="AO236" s="1645"/>
      <c r="AP236" s="1645"/>
      <c r="AQ236" s="1645"/>
      <c r="AR236" s="1645"/>
      <c r="AS236" s="1645"/>
      <c r="AT236" s="1645"/>
      <c r="AU236" s="1645"/>
      <c r="AV236" s="1645"/>
      <c r="AW236" s="1645"/>
      <c r="AX236" s="1645"/>
      <c r="AY236" s="1645"/>
      <c r="AZ236" s="1645"/>
      <c r="BA236" s="1645"/>
      <c r="BB236" s="1645"/>
      <c r="BC236" s="1645"/>
      <c r="BD236" s="1645"/>
      <c r="BE236" s="1645"/>
      <c r="BF236" s="1645"/>
      <c r="BG236" s="1645"/>
      <c r="BH236" s="1645"/>
      <c r="BI236" s="1645"/>
      <c r="BJ236" s="1645"/>
      <c r="BK236" s="1645"/>
      <c r="BL236" s="1645"/>
      <c r="BM236" s="1645"/>
      <c r="BN236" s="1645"/>
      <c r="BO236" s="1645"/>
      <c r="BP236" s="1645"/>
      <c r="BQ236" s="1645"/>
      <c r="BR236" s="1645"/>
      <c r="BS236" s="1645"/>
      <c r="BT236" s="1645"/>
      <c r="BU236" s="1645"/>
      <c r="BV236" s="1645"/>
      <c r="BW236" s="1645"/>
      <c r="BX236" s="1645"/>
      <c r="BY236" s="1645"/>
      <c r="BZ236" s="1645"/>
      <c r="CA236" s="1645"/>
      <c r="CB236" s="1645"/>
      <c r="CC236" s="1645"/>
      <c r="CD236" s="1645"/>
      <c r="CE236" s="1645"/>
      <c r="CF236" s="1325"/>
    </row>
    <row customHeight="1" ht="5.25" hidden="1">
      <c r="A237" s="1802"/>
      <c r="B237" s="1645"/>
      <c r="C237" s="1645"/>
      <c r="D237" s="2588"/>
      <c r="E237" s="644"/>
      <c r="F237" s="644"/>
      <c r="G237" s="644"/>
      <c r="H237" s="644"/>
      <c r="I237" s="644"/>
      <c r="J237" s="644"/>
      <c r="K237" s="644"/>
      <c r="L237" s="644"/>
      <c r="M237" s="644"/>
      <c r="N237" s="644"/>
      <c r="O237" s="644"/>
      <c r="P237" s="644"/>
      <c r="Q237" s="644"/>
      <c r="R237" s="644"/>
      <c r="S237" s="645"/>
      <c r="T237" s="727"/>
      <c r="U237" s="2383"/>
      <c r="V237" s="2383"/>
      <c r="W237" s="1645"/>
      <c r="X237" s="1645"/>
      <c r="Y237" s="1645"/>
      <c r="Z237" s="1645"/>
      <c r="AA237" s="1645"/>
      <c r="AB237" s="1645"/>
      <c r="AC237" s="1046"/>
      <c r="AD237" s="1047"/>
      <c r="AE237" s="1645"/>
      <c r="AF237" s="1645"/>
      <c r="AG237" s="1645"/>
      <c r="AH237" s="1645"/>
      <c r="AI237" s="1645"/>
      <c r="AJ237" s="1645"/>
      <c r="AK237" s="1645"/>
      <c r="AL237" s="1645"/>
      <c r="AM237" s="1645"/>
      <c r="AN237" s="1645"/>
      <c r="AO237" s="1645"/>
      <c r="AP237" s="1645"/>
      <c r="AQ237" s="1645"/>
      <c r="AR237" s="1645"/>
      <c r="AS237" s="1645"/>
      <c r="AT237" s="1645"/>
      <c r="AU237" s="1645"/>
      <c r="AV237" s="1645"/>
      <c r="AW237" s="1645"/>
      <c r="AX237" s="1645"/>
      <c r="AY237" s="1645"/>
      <c r="AZ237" s="1645"/>
      <c r="BA237" s="1645"/>
      <c r="BB237" s="1645"/>
      <c r="BC237" s="1645"/>
      <c r="BD237" s="1645"/>
      <c r="BE237" s="1645"/>
      <c r="BF237" s="1645"/>
      <c r="BG237" s="1645"/>
      <c r="BH237" s="1645"/>
      <c r="BI237" s="1645"/>
      <c r="BJ237" s="1645"/>
      <c r="BK237" s="1645"/>
      <c r="BL237" s="1645"/>
      <c r="BM237" s="1645"/>
      <c r="BN237" s="1645"/>
      <c r="BO237" s="1645"/>
      <c r="BP237" s="1645"/>
      <c r="BQ237" s="1645"/>
      <c r="BR237" s="1645"/>
      <c r="BS237" s="1645"/>
      <c r="BT237" s="1645"/>
      <c r="BU237" s="1645"/>
      <c r="BV237" s="1645"/>
      <c r="BW237" s="1645"/>
      <c r="BX237" s="1645"/>
      <c r="BY237" s="1645"/>
      <c r="BZ237" s="1645"/>
      <c r="CA237" s="1645"/>
      <c r="CB237" s="1645"/>
      <c r="CC237" s="1645"/>
      <c r="CD237" s="1645"/>
      <c r="CE237" s="1645"/>
      <c r="CF237" s="1325"/>
    </row>
    <row customHeight="1" ht="5.25" hidden="1">
      <c r="A238" s="1802"/>
      <c r="B238" s="1645"/>
      <c r="C238" s="1645"/>
      <c r="D238" s="2589"/>
      <c r="E238" s="1052"/>
      <c r="F238" s="1053"/>
      <c r="G238" s="1053"/>
      <c r="H238" s="1054"/>
      <c r="I238" s="1054"/>
      <c r="J238" s="1054"/>
      <c r="K238" s="1054"/>
      <c r="L238" s="1054"/>
      <c r="M238" s="1054"/>
      <c r="N238" s="1054"/>
      <c r="O238" s="1054"/>
      <c r="P238" s="1054"/>
      <c r="Q238" s="1054"/>
      <c r="R238" s="955"/>
      <c r="S238" s="1055"/>
      <c r="T238" s="727"/>
      <c r="U238" s="2383"/>
      <c r="V238" s="2383"/>
      <c r="W238" s="1645"/>
      <c r="X238" s="1645"/>
      <c r="Y238" s="1645"/>
      <c r="Z238" s="1645"/>
      <c r="AA238" s="1645"/>
      <c r="AB238" s="1645"/>
      <c r="AC238" s="1046"/>
      <c r="AD238" s="1047"/>
      <c r="AE238" s="1645"/>
      <c r="AF238" s="1645"/>
      <c r="AG238" s="1645"/>
      <c r="AH238" s="1645"/>
      <c r="AI238" s="1645"/>
      <c r="AJ238" s="1645"/>
      <c r="AK238" s="1645"/>
      <c r="AL238" s="1645"/>
      <c r="AM238" s="1645"/>
      <c r="AN238" s="1645"/>
      <c r="AO238" s="1645"/>
      <c r="AP238" s="1645"/>
      <c r="AQ238" s="1645"/>
      <c r="AR238" s="1645"/>
      <c r="AS238" s="1645"/>
      <c r="AT238" s="1645"/>
      <c r="AU238" s="1645"/>
      <c r="AV238" s="1645"/>
      <c r="AW238" s="1645"/>
      <c r="AX238" s="1645"/>
      <c r="AY238" s="1645"/>
      <c r="AZ238" s="1645"/>
      <c r="BA238" s="1645"/>
      <c r="BB238" s="1645"/>
      <c r="BC238" s="1645"/>
      <c r="BD238" s="1645"/>
      <c r="BE238" s="1645"/>
      <c r="BF238" s="1645"/>
      <c r="BG238" s="1645"/>
      <c r="BH238" s="1645"/>
      <c r="BI238" s="1645"/>
      <c r="BJ238" s="1645"/>
      <c r="BK238" s="1645"/>
      <c r="BL238" s="1645"/>
      <c r="BM238" s="1645"/>
      <c r="BN238" s="1645"/>
      <c r="BO238" s="1645"/>
      <c r="BP238" s="1645"/>
      <c r="BQ238" s="1645"/>
      <c r="BR238" s="1645"/>
      <c r="BS238" s="1645"/>
      <c r="BT238" s="1645"/>
      <c r="BU238" s="1645"/>
      <c r="BV238" s="1645"/>
      <c r="BW238" s="1645"/>
      <c r="BX238" s="1645"/>
      <c r="BY238" s="1645"/>
      <c r="BZ238" s="1645"/>
      <c r="CA238" s="1645"/>
      <c r="CB238" s="1645"/>
      <c r="CC238" s="1645"/>
      <c r="CD238" s="1645"/>
      <c r="CE238" s="1645"/>
      <c r="CF238" s="1325"/>
    </row>
    <row customHeight="1" ht="15" hidden="1">
      <c r="A239" s="632" t="s">
        <v>189</v>
      </c>
      <c r="B239" s="633"/>
      <c r="C239" s="633" t="s">
        <v>22</v>
      </c>
      <c r="D239" s="2587" t="s">
        <v>712</v>
      </c>
      <c r="E239" s="2386" t="s">
        <v>105</v>
      </c>
      <c r="F239" s="2387"/>
      <c r="G239" s="2388"/>
      <c r="H239" s="2392" t="str">
        <f>IF(A239="","",INDEX(DIFFERENTIATION_UNMERGE_VD,MATCH(A239,DIFFERENTIATION_ID_DIFF,0)))</f>
        <v>Производство тепловой энергии. Некомбинированная выработка</v>
      </c>
      <c r="I239" s="2392"/>
      <c r="J239" s="2392"/>
      <c r="K239" s="2392"/>
      <c r="L239" s="2392"/>
      <c r="M239" s="2392"/>
      <c r="N239" s="2392"/>
      <c r="O239" s="2392"/>
      <c r="P239" s="2392"/>
      <c r="Q239" s="2392"/>
      <c r="R239" s="2392"/>
      <c r="S239" s="728"/>
      <c r="T239" s="725"/>
      <c r="U239" s="634"/>
      <c r="V239" s="634"/>
      <c r="W239" s="635"/>
      <c r="X239" s="635"/>
      <c r="Y239" s="635"/>
      <c r="Z239" s="635"/>
      <c r="AA239" s="636"/>
      <c r="AB239" s="637"/>
      <c r="AC239" s="2384"/>
      <c r="AD239" s="638"/>
      <c r="AE239" s="639" t="s">
        <v>22</v>
      </c>
      <c r="AF239" s="639"/>
      <c r="AG239" s="640" t="s">
        <v>682</v>
      </c>
      <c r="AH239" s="641">
        <v>3</v>
      </c>
      <c r="AI239" s="634"/>
      <c r="AJ239" s="634"/>
      <c r="AK239" s="634"/>
      <c r="AL239" s="634"/>
      <c r="AM239" s="634"/>
      <c r="AN239" s="634"/>
      <c r="AO239" s="634"/>
      <c r="AP239" s="634"/>
      <c r="AQ239" s="634"/>
      <c r="AR239" s="634"/>
      <c r="AS239" s="634"/>
      <c r="AT239" s="634"/>
      <c r="AU239" s="634"/>
      <c r="AV239" s="634"/>
      <c r="AW239" s="634"/>
      <c r="AX239" s="634"/>
      <c r="AY239" s="634"/>
      <c r="AZ239" s="634"/>
      <c r="BA239" s="634"/>
      <c r="BB239" s="634"/>
      <c r="BC239" s="634"/>
      <c r="BD239" s="634"/>
      <c r="BE239" s="634"/>
      <c r="BF239" s="634"/>
      <c r="BG239" s="634"/>
      <c r="BH239" s="634"/>
      <c r="BI239" s="634"/>
      <c r="BJ239" s="634"/>
      <c r="BK239" s="634"/>
      <c r="BL239" s="634"/>
      <c r="BM239" s="634"/>
      <c r="BN239" s="634"/>
      <c r="BO239" s="634"/>
      <c r="BP239" s="634"/>
      <c r="BQ239" s="634"/>
      <c r="BR239" s="634"/>
      <c r="BS239" s="634"/>
      <c r="BT239" s="634"/>
      <c r="BU239" s="634"/>
      <c r="BV239" s="635"/>
      <c r="BW239" s="635"/>
      <c r="BX239" s="635"/>
      <c r="BY239" s="635"/>
      <c r="BZ239" s="635"/>
      <c r="CA239" s="635"/>
      <c r="CB239" s="635"/>
      <c r="CC239" s="635"/>
      <c r="CD239" s="635"/>
      <c r="CE239" s="635"/>
      <c r="CF239" s="1859"/>
    </row>
    <row customHeight="1" ht="15" hidden="1">
      <c r="A240" s="632"/>
      <c r="B240" s="633"/>
      <c r="C240" s="633"/>
      <c r="D240" s="2588"/>
      <c r="E240" s="2386" t="s">
        <v>637</v>
      </c>
      <c r="F240" s="2387"/>
      <c r="G240" s="2388"/>
      <c r="H240" s="2392" t="str">
        <f>IF(A239="","",INDEX(DIFFERENTIATION_UNMERGE_AREA,MATCH(A239,DIFFERENTIATION_ID_DIFF,0)))</f>
        <v>Территория 1</v>
      </c>
      <c r="I240" s="2392"/>
      <c r="J240" s="2392"/>
      <c r="K240" s="2392"/>
      <c r="L240" s="2392"/>
      <c r="M240" s="2392"/>
      <c r="N240" s="2392"/>
      <c r="O240" s="2392"/>
      <c r="P240" s="2392"/>
      <c r="Q240" s="2392"/>
      <c r="R240" s="2392"/>
      <c r="S240" s="728"/>
      <c r="T240" s="725"/>
      <c r="U240" s="634"/>
      <c r="V240" s="634"/>
      <c r="W240" s="635"/>
      <c r="X240" s="635"/>
      <c r="Y240" s="635"/>
      <c r="Z240" s="635"/>
      <c r="AA240" s="636"/>
      <c r="AB240" s="637"/>
      <c r="AC240" s="2384"/>
      <c r="AD240" s="638"/>
      <c r="AE240" s="639"/>
      <c r="AF240" s="639"/>
      <c r="AG240" s="640"/>
      <c r="AH240" s="641"/>
      <c r="AI240" s="634"/>
      <c r="AJ240" s="634"/>
      <c r="AK240" s="634"/>
      <c r="AL240" s="634"/>
      <c r="AM240" s="634"/>
      <c r="AN240" s="634"/>
      <c r="AO240" s="634"/>
      <c r="AP240" s="634"/>
      <c r="AQ240" s="634"/>
      <c r="AR240" s="634"/>
      <c r="AS240" s="634"/>
      <c r="AT240" s="634"/>
      <c r="AU240" s="634"/>
      <c r="AV240" s="634"/>
      <c r="AW240" s="634"/>
      <c r="AX240" s="634"/>
      <c r="AY240" s="634"/>
      <c r="AZ240" s="634"/>
      <c r="BA240" s="634"/>
      <c r="BB240" s="634"/>
      <c r="BC240" s="634"/>
      <c r="BD240" s="634"/>
      <c r="BE240" s="634"/>
      <c r="BF240" s="634"/>
      <c r="BG240" s="634"/>
      <c r="BH240" s="634"/>
      <c r="BI240" s="634"/>
      <c r="BJ240" s="634"/>
      <c r="BK240" s="634"/>
      <c r="BL240" s="634"/>
      <c r="BM240" s="634"/>
      <c r="BN240" s="634"/>
      <c r="BO240" s="634"/>
      <c r="BP240" s="634"/>
      <c r="BQ240" s="634"/>
      <c r="BR240" s="634"/>
      <c r="BS240" s="634"/>
      <c r="BT240" s="634"/>
      <c r="BU240" s="634"/>
      <c r="BV240" s="635"/>
      <c r="BW240" s="635"/>
      <c r="BX240" s="635"/>
      <c r="BY240" s="635"/>
      <c r="BZ240" s="635"/>
      <c r="CA240" s="635"/>
      <c r="CB240" s="635"/>
      <c r="CC240" s="635"/>
      <c r="CD240" s="635"/>
      <c r="CE240" s="635"/>
      <c r="CF240" s="1859"/>
    </row>
    <row customHeight="1" ht="15" hidden="1">
      <c r="A241" s="632"/>
      <c r="B241" s="633"/>
      <c r="C241" s="633"/>
      <c r="D241" s="2588"/>
      <c r="E241" s="2386" t="s">
        <v>638</v>
      </c>
      <c r="F241" s="2387"/>
      <c r="G241" s="2388"/>
      <c r="H241" s="2392" t="str">
        <f>IF(A239="","",INDEX(DIFFERENTIATION_UNMERGE_SYSTEM,MATCH(A239,DIFFERENTIATION_ID_DIFF,0)))</f>
        <v>ЦТП-8, ул.Шевченко</v>
      </c>
      <c r="I241" s="2392"/>
      <c r="J241" s="2392"/>
      <c r="K241" s="2392"/>
      <c r="L241" s="2392"/>
      <c r="M241" s="2392"/>
      <c r="N241" s="2392"/>
      <c r="O241" s="2392"/>
      <c r="P241" s="2392"/>
      <c r="Q241" s="2392"/>
      <c r="R241" s="2392"/>
      <c r="S241" s="728"/>
      <c r="T241" s="725"/>
      <c r="U241" s="634"/>
      <c r="V241" s="634"/>
      <c r="W241" s="635"/>
      <c r="X241" s="635"/>
      <c r="Y241" s="635"/>
      <c r="Z241" s="635"/>
      <c r="AA241" s="636"/>
      <c r="AB241" s="637"/>
      <c r="AC241" s="2384"/>
      <c r="AD241" s="638"/>
      <c r="AE241" s="639"/>
      <c r="AF241" s="639"/>
      <c r="AG241" s="640"/>
      <c r="AH241" s="641"/>
      <c r="AI241" s="634"/>
      <c r="AJ241" s="634"/>
      <c r="AK241" s="634"/>
      <c r="AL241" s="634"/>
      <c r="AM241" s="634"/>
      <c r="AN241" s="634"/>
      <c r="AO241" s="634"/>
      <c r="AP241" s="634"/>
      <c r="AQ241" s="634"/>
      <c r="AR241" s="634"/>
      <c r="AS241" s="634"/>
      <c r="AT241" s="634"/>
      <c r="AU241" s="634"/>
      <c r="AV241" s="634"/>
      <c r="AW241" s="634"/>
      <c r="AX241" s="634"/>
      <c r="AY241" s="634"/>
      <c r="AZ241" s="634"/>
      <c r="BA241" s="634"/>
      <c r="BB241" s="634"/>
      <c r="BC241" s="634"/>
      <c r="BD241" s="634"/>
      <c r="BE241" s="634"/>
      <c r="BF241" s="634"/>
      <c r="BG241" s="634"/>
      <c r="BH241" s="634"/>
      <c r="BI241" s="634"/>
      <c r="BJ241" s="634"/>
      <c r="BK241" s="634"/>
      <c r="BL241" s="634"/>
      <c r="BM241" s="634"/>
      <c r="BN241" s="634"/>
      <c r="BO241" s="634"/>
      <c r="BP241" s="634"/>
      <c r="BQ241" s="634"/>
      <c r="BR241" s="634"/>
      <c r="BS241" s="634"/>
      <c r="BT241" s="634"/>
      <c r="BU241" s="634"/>
      <c r="BV241" s="635"/>
      <c r="BW241" s="635"/>
      <c r="BX241" s="635"/>
      <c r="BY241" s="635"/>
      <c r="BZ241" s="635"/>
      <c r="CA241" s="635"/>
      <c r="CB241" s="635"/>
      <c r="CC241" s="635"/>
      <c r="CD241" s="635"/>
      <c r="CE241" s="635"/>
      <c r="CF241" s="1859"/>
    </row>
    <row customHeight="1" ht="24.75" hidden="1">
      <c r="A242" s="1815"/>
      <c r="B242" s="1169"/>
      <c r="C242" s="421"/>
      <c r="D242" s="2588"/>
      <c r="E242" s="2385" t="s">
        <v>683</v>
      </c>
      <c r="F242" s="2385"/>
      <c r="G242" s="2385"/>
      <c r="H242" s="2385"/>
      <c r="I242" s="2385"/>
      <c r="J242" s="2385"/>
      <c r="K242" s="2385"/>
      <c r="L242" s="2385"/>
      <c r="M242" s="2385"/>
      <c r="N242" s="2385"/>
      <c r="O242" s="2385"/>
      <c r="P242" s="2385"/>
      <c r="Q242" s="567">
        <f>SUMIF(T243:T244,"i",Q243:Q244)</f>
        <v>0</v>
      </c>
      <c r="R242" s="1026"/>
      <c r="S242" s="1807" t="s">
        <v>684</v>
      </c>
      <c r="T242" s="726" t="s">
        <v>685</v>
      </c>
      <c r="U242" s="2383">
        <v>1</v>
      </c>
      <c r="V242" s="2383" t="s">
        <v>648</v>
      </c>
      <c r="W242" s="1169"/>
      <c r="X242" s="1169"/>
      <c r="Y242" s="1169"/>
      <c r="Z242" s="1169"/>
      <c r="AA242" s="1645"/>
      <c r="AB242" s="1169"/>
      <c r="AC242" s="2384"/>
      <c r="AD242" s="638"/>
      <c r="AE242" s="1169"/>
      <c r="AF242" s="1169"/>
      <c r="AG242" s="1645"/>
      <c r="AH242" s="1645"/>
      <c r="AI242" s="1645"/>
      <c r="AJ242" s="1645"/>
      <c r="AK242" s="1645"/>
      <c r="AL242" s="1645"/>
      <c r="AM242" s="1645"/>
      <c r="AN242" s="1645"/>
      <c r="AO242" s="1645"/>
      <c r="AP242" s="1645"/>
      <c r="AQ242" s="1645"/>
      <c r="AR242" s="1645"/>
      <c r="AS242" s="1645"/>
      <c r="AT242" s="1645"/>
      <c r="AU242" s="1645"/>
      <c r="AV242" s="1645"/>
      <c r="AW242" s="1645"/>
      <c r="AX242" s="1645"/>
      <c r="AY242" s="1645"/>
      <c r="AZ242" s="1645"/>
      <c r="BA242" s="1645"/>
      <c r="BB242" s="1645"/>
      <c r="BC242" s="1645"/>
      <c r="BD242" s="1645"/>
      <c r="BE242" s="1645"/>
      <c r="BF242" s="1645"/>
      <c r="BG242" s="1645"/>
      <c r="BH242" s="1645"/>
      <c r="BI242" s="1645"/>
      <c r="BJ242" s="1645"/>
      <c r="BK242" s="1645"/>
      <c r="BL242" s="1645"/>
      <c r="BM242" s="1645"/>
      <c r="BN242" s="1645"/>
      <c r="BO242" s="1645"/>
      <c r="BP242" s="1645"/>
      <c r="BQ242" s="1645"/>
      <c r="BR242" s="1645"/>
      <c r="BS242" s="1645"/>
      <c r="BT242" s="1645"/>
      <c r="BU242" s="1645"/>
      <c r="BV242" s="1169"/>
      <c r="BW242" s="1169"/>
      <c r="BX242" s="1169"/>
      <c r="BY242" s="1169"/>
      <c r="BZ242" s="1169"/>
      <c r="CA242" s="1169"/>
      <c r="CB242" s="1169"/>
      <c r="CC242" s="1169"/>
      <c r="CD242" s="1169"/>
      <c r="CE242" s="1169"/>
      <c r="CF242" s="1859"/>
    </row>
    <row customHeight="1" ht="11.25" hidden="1">
      <c r="A243" s="1802"/>
      <c r="B243" s="1645"/>
      <c r="C243" s="1645"/>
      <c r="D243" s="2588"/>
      <c r="E243" s="644"/>
      <c r="F243" s="644">
        <v>0</v>
      </c>
      <c r="G243" s="644"/>
      <c r="H243" s="644"/>
      <c r="I243" s="644"/>
      <c r="J243" s="644"/>
      <c r="K243" s="644"/>
      <c r="L243" s="644"/>
      <c r="M243" s="644"/>
      <c r="N243" s="644"/>
      <c r="O243" s="644"/>
      <c r="P243" s="644"/>
      <c r="Q243" s="644"/>
      <c r="R243" s="644"/>
      <c r="S243" s="645"/>
      <c r="T243" s="727"/>
      <c r="U243" s="2383"/>
      <c r="V243" s="2383"/>
      <c r="W243" s="1645"/>
      <c r="X243" s="1645"/>
      <c r="Y243" s="1645"/>
      <c r="Z243" s="1645"/>
      <c r="AA243" s="1645"/>
      <c r="AB243" s="1169"/>
      <c r="AC243" s="2384"/>
      <c r="AD243" s="638"/>
      <c r="AE243" s="1169"/>
      <c r="AF243" s="1169"/>
      <c r="AG243" s="1645"/>
      <c r="AH243" s="1645"/>
      <c r="AI243" s="1645"/>
      <c r="AJ243" s="1645"/>
      <c r="AK243" s="1645"/>
      <c r="AL243" s="1645"/>
      <c r="AM243" s="1645"/>
      <c r="AN243" s="1645"/>
      <c r="AO243" s="1645"/>
      <c r="AP243" s="1645"/>
      <c r="AQ243" s="1645"/>
      <c r="AR243" s="1645"/>
      <c r="AS243" s="1645"/>
      <c r="AT243" s="1645"/>
      <c r="AU243" s="1645"/>
      <c r="AV243" s="1645"/>
      <c r="AW243" s="1645"/>
      <c r="AX243" s="1645"/>
      <c r="AY243" s="1645"/>
      <c r="AZ243" s="1645"/>
      <c r="BA243" s="1645"/>
      <c r="BB243" s="1645"/>
      <c r="BC243" s="1645"/>
      <c r="BD243" s="1645"/>
      <c r="BE243" s="1645"/>
      <c r="BF243" s="1645"/>
      <c r="BG243" s="1645"/>
      <c r="BH243" s="1645"/>
      <c r="BI243" s="1645"/>
      <c r="BJ243" s="1645"/>
      <c r="BK243" s="1645"/>
      <c r="BL243" s="1645"/>
      <c r="BM243" s="1645"/>
      <c r="BN243" s="1645"/>
      <c r="BO243" s="1645"/>
      <c r="BP243" s="1645"/>
      <c r="BQ243" s="1645"/>
      <c r="BR243" s="1645"/>
      <c r="BS243" s="1645"/>
      <c r="BT243" s="1645"/>
      <c r="BU243" s="1645"/>
      <c r="BV243" s="1645"/>
      <c r="BW243" s="1645"/>
      <c r="BX243" s="1645"/>
      <c r="BY243" s="1645"/>
      <c r="BZ243" s="1645"/>
      <c r="CA243" s="1645"/>
      <c r="CB243" s="1645"/>
      <c r="CC243" s="1645"/>
      <c r="CD243" s="1645"/>
      <c r="CE243" s="1645"/>
      <c r="CF243" s="1859"/>
    </row>
    <row customHeight="1" ht="11.25" hidden="1">
      <c r="A244" s="1815"/>
      <c r="B244" s="1169"/>
      <c r="C244" s="421"/>
      <c r="D244" s="2588"/>
      <c r="E244" s="658" t="s">
        <v>22</v>
      </c>
      <c r="F244" s="1177" t="s">
        <v>22</v>
      </c>
      <c r="G244" s="1177" t="s">
        <v>688</v>
      </c>
      <c r="H244" s="660" t="s">
        <v>22</v>
      </c>
      <c r="I244" s="660"/>
      <c r="J244" s="660"/>
      <c r="K244" s="660"/>
      <c r="L244" s="660"/>
      <c r="M244" s="660"/>
      <c r="N244" s="660"/>
      <c r="O244" s="660"/>
      <c r="P244" s="660"/>
      <c r="Q244" s="660"/>
      <c r="R244" s="661"/>
      <c r="S244" s="662"/>
      <c r="T244" s="727"/>
      <c r="U244" s="2383"/>
      <c r="V244" s="2383"/>
      <c r="W244" s="1169"/>
      <c r="X244" s="1169"/>
      <c r="Y244" s="1169"/>
      <c r="Z244" s="1169"/>
      <c r="AA244" s="1645"/>
      <c r="AB244" s="1169"/>
      <c r="AC244" s="2384"/>
      <c r="AD244" s="638"/>
      <c r="AE244" s="1169"/>
      <c r="AF244" s="1169"/>
      <c r="AG244" s="1645"/>
      <c r="AH244" s="1645"/>
      <c r="AI244" s="1645"/>
      <c r="AJ244" s="1645"/>
      <c r="AK244" s="1645"/>
      <c r="AL244" s="1645"/>
      <c r="AM244" s="1645"/>
      <c r="AN244" s="1645"/>
      <c r="AO244" s="1645"/>
      <c r="AP244" s="1645"/>
      <c r="AQ244" s="1645"/>
      <c r="AR244" s="1645"/>
      <c r="AS244" s="1645"/>
      <c r="AT244" s="1645"/>
      <c r="AU244" s="1645"/>
      <c r="AV244" s="1645"/>
      <c r="AW244" s="1645"/>
      <c r="AX244" s="1645"/>
      <c r="AY244" s="1645"/>
      <c r="AZ244" s="1645"/>
      <c r="BA244" s="1645"/>
      <c r="BB244" s="1645"/>
      <c r="BC244" s="1645"/>
      <c r="BD244" s="1645"/>
      <c r="BE244" s="1645"/>
      <c r="BF244" s="1645"/>
      <c r="BG244" s="1645"/>
      <c r="BH244" s="1645"/>
      <c r="BI244" s="1645"/>
      <c r="BJ244" s="1645"/>
      <c r="BK244" s="1645"/>
      <c r="BL244" s="1645"/>
      <c r="BM244" s="1645"/>
      <c r="BN244" s="1645"/>
      <c r="BO244" s="1645"/>
      <c r="BP244" s="1645"/>
      <c r="BQ244" s="1645"/>
      <c r="BR244" s="1645"/>
      <c r="BS244" s="1645"/>
      <c r="BT244" s="1645"/>
      <c r="BU244" s="1645"/>
      <c r="BV244" s="1169"/>
      <c r="BW244" s="1169"/>
      <c r="BX244" s="1169"/>
      <c r="BY244" s="1169"/>
      <c r="BZ244" s="1169"/>
      <c r="CA244" s="1169"/>
      <c r="CB244" s="1169"/>
      <c r="CC244" s="1169"/>
      <c r="CD244" s="1169"/>
      <c r="CE244" s="1169"/>
      <c r="CF244" s="1859"/>
    </row>
    <row customHeight="1" ht="5.25" hidden="1">
      <c r="A245" s="1802"/>
      <c r="B245" s="1645"/>
      <c r="C245" s="1645"/>
      <c r="D245" s="2588"/>
      <c r="E245" s="1048"/>
      <c r="F245" s="1048"/>
      <c r="G245" s="1048"/>
      <c r="H245" s="1048"/>
      <c r="I245" s="1048"/>
      <c r="J245" s="1048"/>
      <c r="K245" s="1048"/>
      <c r="L245" s="1048"/>
      <c r="M245" s="1048"/>
      <c r="N245" s="1048"/>
      <c r="O245" s="1048"/>
      <c r="P245" s="1048"/>
      <c r="Q245" s="1049"/>
      <c r="R245" s="1050"/>
      <c r="S245" s="1051"/>
      <c r="T245" s="726" t="s">
        <v>685</v>
      </c>
      <c r="U245" s="2383">
        <v>1</v>
      </c>
      <c r="V245" s="2383" t="s">
        <v>648</v>
      </c>
      <c r="W245" s="1645"/>
      <c r="X245" s="1645"/>
      <c r="Y245" s="1645"/>
      <c r="Z245" s="1645"/>
      <c r="AA245" s="1645"/>
      <c r="AB245" s="1645"/>
      <c r="AC245" s="1046"/>
      <c r="AD245" s="1047"/>
      <c r="AE245" s="1645"/>
      <c r="AF245" s="1645"/>
      <c r="AG245" s="1645"/>
      <c r="AH245" s="1645"/>
      <c r="AI245" s="1645"/>
      <c r="AJ245" s="1645"/>
      <c r="AK245" s="1645"/>
      <c r="AL245" s="1645"/>
      <c r="AM245" s="1645"/>
      <c r="AN245" s="1645"/>
      <c r="AO245" s="1645"/>
      <c r="AP245" s="1645"/>
      <c r="AQ245" s="1645"/>
      <c r="AR245" s="1645"/>
      <c r="AS245" s="1645"/>
      <c r="AT245" s="1645"/>
      <c r="AU245" s="1645"/>
      <c r="AV245" s="1645"/>
      <c r="AW245" s="1645"/>
      <c r="AX245" s="1645"/>
      <c r="AY245" s="1645"/>
      <c r="AZ245" s="1645"/>
      <c r="BA245" s="1645"/>
      <c r="BB245" s="1645"/>
      <c r="BC245" s="1645"/>
      <c r="BD245" s="1645"/>
      <c r="BE245" s="1645"/>
      <c r="BF245" s="1645"/>
      <c r="BG245" s="1645"/>
      <c r="BH245" s="1645"/>
      <c r="BI245" s="1645"/>
      <c r="BJ245" s="1645"/>
      <c r="BK245" s="1645"/>
      <c r="BL245" s="1645"/>
      <c r="BM245" s="1645"/>
      <c r="BN245" s="1645"/>
      <c r="BO245" s="1645"/>
      <c r="BP245" s="1645"/>
      <c r="BQ245" s="1645"/>
      <c r="BR245" s="1645"/>
      <c r="BS245" s="1645"/>
      <c r="BT245" s="1645"/>
      <c r="BU245" s="1645"/>
      <c r="BV245" s="1645"/>
      <c r="BW245" s="1645"/>
      <c r="BX245" s="1645"/>
      <c r="BY245" s="1645"/>
      <c r="BZ245" s="1645"/>
      <c r="CA245" s="1645"/>
      <c r="CB245" s="1645"/>
      <c r="CC245" s="1645"/>
      <c r="CD245" s="1645"/>
      <c r="CE245" s="1645"/>
      <c r="CF245" s="1325"/>
    </row>
    <row customHeight="1" ht="5.25" hidden="1">
      <c r="A246" s="1802"/>
      <c r="B246" s="1645"/>
      <c r="C246" s="1645"/>
      <c r="D246" s="2588"/>
      <c r="E246" s="644"/>
      <c r="F246" s="644"/>
      <c r="G246" s="644"/>
      <c r="H246" s="644"/>
      <c r="I246" s="644"/>
      <c r="J246" s="644"/>
      <c r="K246" s="644"/>
      <c r="L246" s="644"/>
      <c r="M246" s="644"/>
      <c r="N246" s="644"/>
      <c r="O246" s="644"/>
      <c r="P246" s="644"/>
      <c r="Q246" s="644"/>
      <c r="R246" s="644"/>
      <c r="S246" s="645"/>
      <c r="T246" s="727"/>
      <c r="U246" s="2383"/>
      <c r="V246" s="2383"/>
      <c r="W246" s="1645"/>
      <c r="X246" s="1645"/>
      <c r="Y246" s="1645"/>
      <c r="Z246" s="1645"/>
      <c r="AA246" s="1645"/>
      <c r="AB246" s="1645"/>
      <c r="AC246" s="1046"/>
      <c r="AD246" s="1047"/>
      <c r="AE246" s="1645"/>
      <c r="AF246" s="1645"/>
      <c r="AG246" s="1645"/>
      <c r="AH246" s="1645"/>
      <c r="AI246" s="1645"/>
      <c r="AJ246" s="1645"/>
      <c r="AK246" s="1645"/>
      <c r="AL246" s="1645"/>
      <c r="AM246" s="1645"/>
      <c r="AN246" s="1645"/>
      <c r="AO246" s="1645"/>
      <c r="AP246" s="1645"/>
      <c r="AQ246" s="1645"/>
      <c r="AR246" s="1645"/>
      <c r="AS246" s="1645"/>
      <c r="AT246" s="1645"/>
      <c r="AU246" s="1645"/>
      <c r="AV246" s="1645"/>
      <c r="AW246" s="1645"/>
      <c r="AX246" s="1645"/>
      <c r="AY246" s="1645"/>
      <c r="AZ246" s="1645"/>
      <c r="BA246" s="1645"/>
      <c r="BB246" s="1645"/>
      <c r="BC246" s="1645"/>
      <c r="BD246" s="1645"/>
      <c r="BE246" s="1645"/>
      <c r="BF246" s="1645"/>
      <c r="BG246" s="1645"/>
      <c r="BH246" s="1645"/>
      <c r="BI246" s="1645"/>
      <c r="BJ246" s="1645"/>
      <c r="BK246" s="1645"/>
      <c r="BL246" s="1645"/>
      <c r="BM246" s="1645"/>
      <c r="BN246" s="1645"/>
      <c r="BO246" s="1645"/>
      <c r="BP246" s="1645"/>
      <c r="BQ246" s="1645"/>
      <c r="BR246" s="1645"/>
      <c r="BS246" s="1645"/>
      <c r="BT246" s="1645"/>
      <c r="BU246" s="1645"/>
      <c r="BV246" s="1645"/>
      <c r="BW246" s="1645"/>
      <c r="BX246" s="1645"/>
      <c r="BY246" s="1645"/>
      <c r="BZ246" s="1645"/>
      <c r="CA246" s="1645"/>
      <c r="CB246" s="1645"/>
      <c r="CC246" s="1645"/>
      <c r="CD246" s="1645"/>
      <c r="CE246" s="1645"/>
      <c r="CF246" s="1325"/>
    </row>
    <row customHeight="1" ht="5.25" hidden="1">
      <c r="A247" s="1802"/>
      <c r="B247" s="1645"/>
      <c r="C247" s="1645"/>
      <c r="D247" s="2589"/>
      <c r="E247" s="1052"/>
      <c r="F247" s="1053"/>
      <c r="G247" s="1053"/>
      <c r="H247" s="1054"/>
      <c r="I247" s="1054"/>
      <c r="J247" s="1054"/>
      <c r="K247" s="1054"/>
      <c r="L247" s="1054"/>
      <c r="M247" s="1054"/>
      <c r="N247" s="1054"/>
      <c r="O247" s="1054"/>
      <c r="P247" s="1054"/>
      <c r="Q247" s="1054"/>
      <c r="R247" s="955"/>
      <c r="S247" s="1055"/>
      <c r="T247" s="727"/>
      <c r="U247" s="2383"/>
      <c r="V247" s="2383"/>
      <c r="W247" s="1645"/>
      <c r="X247" s="1645"/>
      <c r="Y247" s="1645"/>
      <c r="Z247" s="1645"/>
      <c r="AA247" s="1645"/>
      <c r="AB247" s="1645"/>
      <c r="AC247" s="1046"/>
      <c r="AD247" s="1047"/>
      <c r="AE247" s="1645"/>
      <c r="AF247" s="1645"/>
      <c r="AG247" s="1645"/>
      <c r="AH247" s="1645"/>
      <c r="AI247" s="1645"/>
      <c r="AJ247" s="1645"/>
      <c r="AK247" s="1645"/>
      <c r="AL247" s="1645"/>
      <c r="AM247" s="1645"/>
      <c r="AN247" s="1645"/>
      <c r="AO247" s="1645"/>
      <c r="AP247" s="1645"/>
      <c r="AQ247" s="1645"/>
      <c r="AR247" s="1645"/>
      <c r="AS247" s="1645"/>
      <c r="AT247" s="1645"/>
      <c r="AU247" s="1645"/>
      <c r="AV247" s="1645"/>
      <c r="AW247" s="1645"/>
      <c r="AX247" s="1645"/>
      <c r="AY247" s="1645"/>
      <c r="AZ247" s="1645"/>
      <c r="BA247" s="1645"/>
      <c r="BB247" s="1645"/>
      <c r="BC247" s="1645"/>
      <c r="BD247" s="1645"/>
      <c r="BE247" s="1645"/>
      <c r="BF247" s="1645"/>
      <c r="BG247" s="1645"/>
      <c r="BH247" s="1645"/>
      <c r="BI247" s="1645"/>
      <c r="BJ247" s="1645"/>
      <c r="BK247" s="1645"/>
      <c r="BL247" s="1645"/>
      <c r="BM247" s="1645"/>
      <c r="BN247" s="1645"/>
      <c r="BO247" s="1645"/>
      <c r="BP247" s="1645"/>
      <c r="BQ247" s="1645"/>
      <c r="BR247" s="1645"/>
      <c r="BS247" s="1645"/>
      <c r="BT247" s="1645"/>
      <c r="BU247" s="1645"/>
      <c r="BV247" s="1645"/>
      <c r="BW247" s="1645"/>
      <c r="BX247" s="1645"/>
      <c r="BY247" s="1645"/>
      <c r="BZ247" s="1645"/>
      <c r="CA247" s="1645"/>
      <c r="CB247" s="1645"/>
      <c r="CC247" s="1645"/>
      <c r="CD247" s="1645"/>
      <c r="CE247" s="1645"/>
      <c r="CF247" s="1325"/>
    </row>
    <row customHeight="1" ht="15" hidden="1">
      <c r="A248" s="632" t="s">
        <v>192</v>
      </c>
      <c r="B248" s="633"/>
      <c r="C248" s="633" t="s">
        <v>22</v>
      </c>
      <c r="D248" s="2587" t="s">
        <v>713</v>
      </c>
      <c r="E248" s="2386" t="s">
        <v>105</v>
      </c>
      <c r="F248" s="2387"/>
      <c r="G248" s="2388"/>
      <c r="H248" s="2392" t="str">
        <f>IF(A248="","",INDEX(DIFFERENTIATION_UNMERGE_VD,MATCH(A248,DIFFERENTIATION_ID_DIFF,0)))</f>
        <v>Производство тепловой энергии. Некомбинированная выработка</v>
      </c>
      <c r="I248" s="2392"/>
      <c r="J248" s="2392"/>
      <c r="K248" s="2392"/>
      <c r="L248" s="2392"/>
      <c r="M248" s="2392"/>
      <c r="N248" s="2392"/>
      <c r="O248" s="2392"/>
      <c r="P248" s="2392"/>
      <c r="Q248" s="2392"/>
      <c r="R248" s="2392"/>
      <c r="S248" s="728"/>
      <c r="T248" s="725"/>
      <c r="U248" s="634"/>
      <c r="V248" s="634"/>
      <c r="W248" s="635"/>
      <c r="X248" s="635"/>
      <c r="Y248" s="635"/>
      <c r="Z248" s="635"/>
      <c r="AA248" s="636"/>
      <c r="AB248" s="637"/>
      <c r="AC248" s="2384"/>
      <c r="AD248" s="638"/>
      <c r="AE248" s="639" t="s">
        <v>22</v>
      </c>
      <c r="AF248" s="639"/>
      <c r="AG248" s="640" t="s">
        <v>682</v>
      </c>
      <c r="AH248" s="641">
        <v>3</v>
      </c>
      <c r="AI248" s="634"/>
      <c r="AJ248" s="634"/>
      <c r="AK248" s="634"/>
      <c r="AL248" s="634"/>
      <c r="AM248" s="634"/>
      <c r="AN248" s="634"/>
      <c r="AO248" s="634"/>
      <c r="AP248" s="634"/>
      <c r="AQ248" s="634"/>
      <c r="AR248" s="634"/>
      <c r="AS248" s="634"/>
      <c r="AT248" s="634"/>
      <c r="AU248" s="634"/>
      <c r="AV248" s="634"/>
      <c r="AW248" s="634"/>
      <c r="AX248" s="634"/>
      <c r="AY248" s="634"/>
      <c r="AZ248" s="634"/>
      <c r="BA248" s="634"/>
      <c r="BB248" s="634"/>
      <c r="BC248" s="634"/>
      <c r="BD248" s="634"/>
      <c r="BE248" s="634"/>
      <c r="BF248" s="634"/>
      <c r="BG248" s="634"/>
      <c r="BH248" s="634"/>
      <c r="BI248" s="634"/>
      <c r="BJ248" s="634"/>
      <c r="BK248" s="634"/>
      <c r="BL248" s="634"/>
      <c r="BM248" s="634"/>
      <c r="BN248" s="634"/>
      <c r="BO248" s="634"/>
      <c r="BP248" s="634"/>
      <c r="BQ248" s="634"/>
      <c r="BR248" s="634"/>
      <c r="BS248" s="634"/>
      <c r="BT248" s="634"/>
      <c r="BU248" s="634"/>
      <c r="BV248" s="635"/>
      <c r="BW248" s="635"/>
      <c r="BX248" s="635"/>
      <c r="BY248" s="635"/>
      <c r="BZ248" s="635"/>
      <c r="CA248" s="635"/>
      <c r="CB248" s="635"/>
      <c r="CC248" s="635"/>
      <c r="CD248" s="635"/>
      <c r="CE248" s="635"/>
      <c r="CF248" s="1859"/>
    </row>
    <row customHeight="1" ht="15" hidden="1">
      <c r="A249" s="632"/>
      <c r="B249" s="633"/>
      <c r="C249" s="633"/>
      <c r="D249" s="2588"/>
      <c r="E249" s="2386" t="s">
        <v>637</v>
      </c>
      <c r="F249" s="2387"/>
      <c r="G249" s="2388"/>
      <c r="H249" s="2392" t="str">
        <f>IF(A248="","",INDEX(DIFFERENTIATION_UNMERGE_AREA,MATCH(A248,DIFFERENTIATION_ID_DIFF,0)))</f>
        <v>Территория 1</v>
      </c>
      <c r="I249" s="2392"/>
      <c r="J249" s="2392"/>
      <c r="K249" s="2392"/>
      <c r="L249" s="2392"/>
      <c r="M249" s="2392"/>
      <c r="N249" s="2392"/>
      <c r="O249" s="2392"/>
      <c r="P249" s="2392"/>
      <c r="Q249" s="2392"/>
      <c r="R249" s="2392"/>
      <c r="S249" s="728"/>
      <c r="T249" s="725"/>
      <c r="U249" s="634"/>
      <c r="V249" s="634"/>
      <c r="W249" s="635"/>
      <c r="X249" s="635"/>
      <c r="Y249" s="635"/>
      <c r="Z249" s="635"/>
      <c r="AA249" s="636"/>
      <c r="AB249" s="637"/>
      <c r="AC249" s="2384"/>
      <c r="AD249" s="638"/>
      <c r="AE249" s="639"/>
      <c r="AF249" s="639"/>
      <c r="AG249" s="640"/>
      <c r="AH249" s="641"/>
      <c r="AI249" s="634"/>
      <c r="AJ249" s="634"/>
      <c r="AK249" s="634"/>
      <c r="AL249" s="634"/>
      <c r="AM249" s="634"/>
      <c r="AN249" s="634"/>
      <c r="AO249" s="634"/>
      <c r="AP249" s="634"/>
      <c r="AQ249" s="634"/>
      <c r="AR249" s="634"/>
      <c r="AS249" s="634"/>
      <c r="AT249" s="634"/>
      <c r="AU249" s="634"/>
      <c r="AV249" s="634"/>
      <c r="AW249" s="634"/>
      <c r="AX249" s="634"/>
      <c r="AY249" s="634"/>
      <c r="AZ249" s="634"/>
      <c r="BA249" s="634"/>
      <c r="BB249" s="634"/>
      <c r="BC249" s="634"/>
      <c r="BD249" s="634"/>
      <c r="BE249" s="634"/>
      <c r="BF249" s="634"/>
      <c r="BG249" s="634"/>
      <c r="BH249" s="634"/>
      <c r="BI249" s="634"/>
      <c r="BJ249" s="634"/>
      <c r="BK249" s="634"/>
      <c r="BL249" s="634"/>
      <c r="BM249" s="634"/>
      <c r="BN249" s="634"/>
      <c r="BO249" s="634"/>
      <c r="BP249" s="634"/>
      <c r="BQ249" s="634"/>
      <c r="BR249" s="634"/>
      <c r="BS249" s="634"/>
      <c r="BT249" s="634"/>
      <c r="BU249" s="634"/>
      <c r="BV249" s="635"/>
      <c r="BW249" s="635"/>
      <c r="BX249" s="635"/>
      <c r="BY249" s="635"/>
      <c r="BZ249" s="635"/>
      <c r="CA249" s="635"/>
      <c r="CB249" s="635"/>
      <c r="CC249" s="635"/>
      <c r="CD249" s="635"/>
      <c r="CE249" s="635"/>
      <c r="CF249" s="1859"/>
    </row>
    <row customHeight="1" ht="15" hidden="1">
      <c r="A250" s="632"/>
      <c r="B250" s="633"/>
      <c r="C250" s="633"/>
      <c r="D250" s="2588"/>
      <c r="E250" s="2386" t="s">
        <v>638</v>
      </c>
      <c r="F250" s="2387"/>
      <c r="G250" s="2388"/>
      <c r="H250" s="2392" t="str">
        <f>IF(A248="","",INDEX(DIFFERENTIATION_UNMERGE_SYSTEM,MATCH(A248,DIFFERENTIATION_ID_DIFF,0)))</f>
        <v>ПНС, ул.Парковая</v>
      </c>
      <c r="I250" s="2392"/>
      <c r="J250" s="2392"/>
      <c r="K250" s="2392"/>
      <c r="L250" s="2392"/>
      <c r="M250" s="2392"/>
      <c r="N250" s="2392"/>
      <c r="O250" s="2392"/>
      <c r="P250" s="2392"/>
      <c r="Q250" s="2392"/>
      <c r="R250" s="2392"/>
      <c r="S250" s="728"/>
      <c r="T250" s="725"/>
      <c r="U250" s="634"/>
      <c r="V250" s="634"/>
      <c r="W250" s="635"/>
      <c r="X250" s="635"/>
      <c r="Y250" s="635"/>
      <c r="Z250" s="635"/>
      <c r="AA250" s="636"/>
      <c r="AB250" s="637"/>
      <c r="AC250" s="2384"/>
      <c r="AD250" s="638"/>
      <c r="AE250" s="639"/>
      <c r="AF250" s="639"/>
      <c r="AG250" s="640"/>
      <c r="AH250" s="641"/>
      <c r="AI250" s="634"/>
      <c r="AJ250" s="634"/>
      <c r="AK250" s="634"/>
      <c r="AL250" s="634"/>
      <c r="AM250" s="634"/>
      <c r="AN250" s="634"/>
      <c r="AO250" s="634"/>
      <c r="AP250" s="634"/>
      <c r="AQ250" s="634"/>
      <c r="AR250" s="634"/>
      <c r="AS250" s="634"/>
      <c r="AT250" s="634"/>
      <c r="AU250" s="634"/>
      <c r="AV250" s="634"/>
      <c r="AW250" s="634"/>
      <c r="AX250" s="634"/>
      <c r="AY250" s="634"/>
      <c r="AZ250" s="634"/>
      <c r="BA250" s="634"/>
      <c r="BB250" s="634"/>
      <c r="BC250" s="634"/>
      <c r="BD250" s="634"/>
      <c r="BE250" s="634"/>
      <c r="BF250" s="634"/>
      <c r="BG250" s="634"/>
      <c r="BH250" s="634"/>
      <c r="BI250" s="634"/>
      <c r="BJ250" s="634"/>
      <c r="BK250" s="634"/>
      <c r="BL250" s="634"/>
      <c r="BM250" s="634"/>
      <c r="BN250" s="634"/>
      <c r="BO250" s="634"/>
      <c r="BP250" s="634"/>
      <c r="BQ250" s="634"/>
      <c r="BR250" s="634"/>
      <c r="BS250" s="634"/>
      <c r="BT250" s="634"/>
      <c r="BU250" s="634"/>
      <c r="BV250" s="635"/>
      <c r="BW250" s="635"/>
      <c r="BX250" s="635"/>
      <c r="BY250" s="635"/>
      <c r="BZ250" s="635"/>
      <c r="CA250" s="635"/>
      <c r="CB250" s="635"/>
      <c r="CC250" s="635"/>
      <c r="CD250" s="635"/>
      <c r="CE250" s="635"/>
      <c r="CF250" s="1859"/>
    </row>
    <row customHeight="1" ht="24.75" hidden="1">
      <c r="A251" s="1815"/>
      <c r="B251" s="1169"/>
      <c r="C251" s="421"/>
      <c r="D251" s="2588"/>
      <c r="E251" s="2385" t="s">
        <v>683</v>
      </c>
      <c r="F251" s="2385"/>
      <c r="G251" s="2385"/>
      <c r="H251" s="2385"/>
      <c r="I251" s="2385"/>
      <c r="J251" s="2385"/>
      <c r="K251" s="2385"/>
      <c r="L251" s="2385"/>
      <c r="M251" s="2385"/>
      <c r="N251" s="2385"/>
      <c r="O251" s="2385"/>
      <c r="P251" s="2385"/>
      <c r="Q251" s="567">
        <f>SUMIF(T252:T253,"i",Q252:Q253)</f>
        <v>0</v>
      </c>
      <c r="R251" s="1026"/>
      <c r="S251" s="1807" t="s">
        <v>684</v>
      </c>
      <c r="T251" s="726" t="s">
        <v>685</v>
      </c>
      <c r="U251" s="2383">
        <v>1</v>
      </c>
      <c r="V251" s="2383" t="s">
        <v>648</v>
      </c>
      <c r="W251" s="1169"/>
      <c r="X251" s="1169"/>
      <c r="Y251" s="1169"/>
      <c r="Z251" s="1169"/>
      <c r="AA251" s="1645"/>
      <c r="AB251" s="1169"/>
      <c r="AC251" s="2384"/>
      <c r="AD251" s="638"/>
      <c r="AE251" s="1169"/>
      <c r="AF251" s="1169"/>
      <c r="AG251" s="1645"/>
      <c r="AH251" s="1645"/>
      <c r="AI251" s="1645"/>
      <c r="AJ251" s="1645"/>
      <c r="AK251" s="1645"/>
      <c r="AL251" s="1645"/>
      <c r="AM251" s="1645"/>
      <c r="AN251" s="1645"/>
      <c r="AO251" s="1645"/>
      <c r="AP251" s="1645"/>
      <c r="AQ251" s="1645"/>
      <c r="AR251" s="1645"/>
      <c r="AS251" s="1645"/>
      <c r="AT251" s="1645"/>
      <c r="AU251" s="1645"/>
      <c r="AV251" s="1645"/>
      <c r="AW251" s="1645"/>
      <c r="AX251" s="1645"/>
      <c r="AY251" s="1645"/>
      <c r="AZ251" s="1645"/>
      <c r="BA251" s="1645"/>
      <c r="BB251" s="1645"/>
      <c r="BC251" s="1645"/>
      <c r="BD251" s="1645"/>
      <c r="BE251" s="1645"/>
      <c r="BF251" s="1645"/>
      <c r="BG251" s="1645"/>
      <c r="BH251" s="1645"/>
      <c r="BI251" s="1645"/>
      <c r="BJ251" s="1645"/>
      <c r="BK251" s="1645"/>
      <c r="BL251" s="1645"/>
      <c r="BM251" s="1645"/>
      <c r="BN251" s="1645"/>
      <c r="BO251" s="1645"/>
      <c r="BP251" s="1645"/>
      <c r="BQ251" s="1645"/>
      <c r="BR251" s="1645"/>
      <c r="BS251" s="1645"/>
      <c r="BT251" s="1645"/>
      <c r="BU251" s="1645"/>
      <c r="BV251" s="1169"/>
      <c r="BW251" s="1169"/>
      <c r="BX251" s="1169"/>
      <c r="BY251" s="1169"/>
      <c r="BZ251" s="1169"/>
      <c r="CA251" s="1169"/>
      <c r="CB251" s="1169"/>
      <c r="CC251" s="1169"/>
      <c r="CD251" s="1169"/>
      <c r="CE251" s="1169"/>
      <c r="CF251" s="1859"/>
    </row>
    <row customHeight="1" ht="11.25" hidden="1">
      <c r="A252" s="1802"/>
      <c r="B252" s="1645"/>
      <c r="C252" s="1645"/>
      <c r="D252" s="2588"/>
      <c r="E252" s="644"/>
      <c r="F252" s="644">
        <v>0</v>
      </c>
      <c r="G252" s="644"/>
      <c r="H252" s="644"/>
      <c r="I252" s="644"/>
      <c r="J252" s="644"/>
      <c r="K252" s="644"/>
      <c r="L252" s="644"/>
      <c r="M252" s="644"/>
      <c r="N252" s="644"/>
      <c r="O252" s="644"/>
      <c r="P252" s="644"/>
      <c r="Q252" s="644"/>
      <c r="R252" s="644"/>
      <c r="S252" s="645"/>
      <c r="T252" s="727"/>
      <c r="U252" s="2383"/>
      <c r="V252" s="2383"/>
      <c r="W252" s="1645"/>
      <c r="X252" s="1645"/>
      <c r="Y252" s="1645"/>
      <c r="Z252" s="1645"/>
      <c r="AA252" s="1645"/>
      <c r="AB252" s="1169"/>
      <c r="AC252" s="2384"/>
      <c r="AD252" s="638"/>
      <c r="AE252" s="1169"/>
      <c r="AF252" s="1169"/>
      <c r="AG252" s="1645"/>
      <c r="AH252" s="1645"/>
      <c r="AI252" s="1645"/>
      <c r="AJ252" s="1645"/>
      <c r="AK252" s="1645"/>
      <c r="AL252" s="1645"/>
      <c r="AM252" s="1645"/>
      <c r="AN252" s="1645"/>
      <c r="AO252" s="1645"/>
      <c r="AP252" s="1645"/>
      <c r="AQ252" s="1645"/>
      <c r="AR252" s="1645"/>
      <c r="AS252" s="1645"/>
      <c r="AT252" s="1645"/>
      <c r="AU252" s="1645"/>
      <c r="AV252" s="1645"/>
      <c r="AW252" s="1645"/>
      <c r="AX252" s="1645"/>
      <c r="AY252" s="1645"/>
      <c r="AZ252" s="1645"/>
      <c r="BA252" s="1645"/>
      <c r="BB252" s="1645"/>
      <c r="BC252" s="1645"/>
      <c r="BD252" s="1645"/>
      <c r="BE252" s="1645"/>
      <c r="BF252" s="1645"/>
      <c r="BG252" s="1645"/>
      <c r="BH252" s="1645"/>
      <c r="BI252" s="1645"/>
      <c r="BJ252" s="1645"/>
      <c r="BK252" s="1645"/>
      <c r="BL252" s="1645"/>
      <c r="BM252" s="1645"/>
      <c r="BN252" s="1645"/>
      <c r="BO252" s="1645"/>
      <c r="BP252" s="1645"/>
      <c r="BQ252" s="1645"/>
      <c r="BR252" s="1645"/>
      <c r="BS252" s="1645"/>
      <c r="BT252" s="1645"/>
      <c r="BU252" s="1645"/>
      <c r="BV252" s="1645"/>
      <c r="BW252" s="1645"/>
      <c r="BX252" s="1645"/>
      <c r="BY252" s="1645"/>
      <c r="BZ252" s="1645"/>
      <c r="CA252" s="1645"/>
      <c r="CB252" s="1645"/>
      <c r="CC252" s="1645"/>
      <c r="CD252" s="1645"/>
      <c r="CE252" s="1645"/>
      <c r="CF252" s="1859"/>
    </row>
    <row customHeight="1" ht="11.25" hidden="1">
      <c r="A253" s="1815"/>
      <c r="B253" s="1169"/>
      <c r="C253" s="421"/>
      <c r="D253" s="2588"/>
      <c r="E253" s="658" t="s">
        <v>22</v>
      </c>
      <c r="F253" s="1177" t="s">
        <v>22</v>
      </c>
      <c r="G253" s="1177" t="s">
        <v>688</v>
      </c>
      <c r="H253" s="660" t="s">
        <v>22</v>
      </c>
      <c r="I253" s="660"/>
      <c r="J253" s="660"/>
      <c r="K253" s="660"/>
      <c r="L253" s="660"/>
      <c r="M253" s="660"/>
      <c r="N253" s="660"/>
      <c r="O253" s="660"/>
      <c r="P253" s="660"/>
      <c r="Q253" s="660"/>
      <c r="R253" s="661"/>
      <c r="S253" s="662"/>
      <c r="T253" s="727"/>
      <c r="U253" s="2383"/>
      <c r="V253" s="2383"/>
      <c r="W253" s="1169"/>
      <c r="X253" s="1169"/>
      <c r="Y253" s="1169"/>
      <c r="Z253" s="1169"/>
      <c r="AA253" s="1645"/>
      <c r="AB253" s="1169"/>
      <c r="AC253" s="2384"/>
      <c r="AD253" s="638"/>
      <c r="AE253" s="1169"/>
      <c r="AF253" s="1169"/>
      <c r="AG253" s="1645"/>
      <c r="AH253" s="1645"/>
      <c r="AI253" s="1645"/>
      <c r="AJ253" s="1645"/>
      <c r="AK253" s="1645"/>
      <c r="AL253" s="1645"/>
      <c r="AM253" s="1645"/>
      <c r="AN253" s="1645"/>
      <c r="AO253" s="1645"/>
      <c r="AP253" s="1645"/>
      <c r="AQ253" s="1645"/>
      <c r="AR253" s="1645"/>
      <c r="AS253" s="1645"/>
      <c r="AT253" s="1645"/>
      <c r="AU253" s="1645"/>
      <c r="AV253" s="1645"/>
      <c r="AW253" s="1645"/>
      <c r="AX253" s="1645"/>
      <c r="AY253" s="1645"/>
      <c r="AZ253" s="1645"/>
      <c r="BA253" s="1645"/>
      <c r="BB253" s="1645"/>
      <c r="BC253" s="1645"/>
      <c r="BD253" s="1645"/>
      <c r="BE253" s="1645"/>
      <c r="BF253" s="1645"/>
      <c r="BG253" s="1645"/>
      <c r="BH253" s="1645"/>
      <c r="BI253" s="1645"/>
      <c r="BJ253" s="1645"/>
      <c r="BK253" s="1645"/>
      <c r="BL253" s="1645"/>
      <c r="BM253" s="1645"/>
      <c r="BN253" s="1645"/>
      <c r="BO253" s="1645"/>
      <c r="BP253" s="1645"/>
      <c r="BQ253" s="1645"/>
      <c r="BR253" s="1645"/>
      <c r="BS253" s="1645"/>
      <c r="BT253" s="1645"/>
      <c r="BU253" s="1645"/>
      <c r="BV253" s="1169"/>
      <c r="BW253" s="1169"/>
      <c r="BX253" s="1169"/>
      <c r="BY253" s="1169"/>
      <c r="BZ253" s="1169"/>
      <c r="CA253" s="1169"/>
      <c r="CB253" s="1169"/>
      <c r="CC253" s="1169"/>
      <c r="CD253" s="1169"/>
      <c r="CE253" s="1169"/>
      <c r="CF253" s="1859"/>
    </row>
    <row customHeight="1" ht="5.25" hidden="1">
      <c r="A254" s="1802"/>
      <c r="B254" s="1645"/>
      <c r="C254" s="1645"/>
      <c r="D254" s="2588"/>
      <c r="E254" s="1048"/>
      <c r="F254" s="1048"/>
      <c r="G254" s="1048"/>
      <c r="H254" s="1048"/>
      <c r="I254" s="1048"/>
      <c r="J254" s="1048"/>
      <c r="K254" s="1048"/>
      <c r="L254" s="1048"/>
      <c r="M254" s="1048"/>
      <c r="N254" s="1048"/>
      <c r="O254" s="1048"/>
      <c r="P254" s="1048"/>
      <c r="Q254" s="1049"/>
      <c r="R254" s="1050"/>
      <c r="S254" s="1051"/>
      <c r="T254" s="726" t="s">
        <v>685</v>
      </c>
      <c r="U254" s="2383">
        <v>1</v>
      </c>
      <c r="V254" s="2383" t="s">
        <v>648</v>
      </c>
      <c r="W254" s="1645"/>
      <c r="X254" s="1645"/>
      <c r="Y254" s="1645"/>
      <c r="Z254" s="1645"/>
      <c r="AA254" s="1645"/>
      <c r="AB254" s="1645"/>
      <c r="AC254" s="1046"/>
      <c r="AD254" s="1047"/>
      <c r="AE254" s="1645"/>
      <c r="AF254" s="1645"/>
      <c r="AG254" s="1645"/>
      <c r="AH254" s="1645"/>
      <c r="AI254" s="1645"/>
      <c r="AJ254" s="1645"/>
      <c r="AK254" s="1645"/>
      <c r="AL254" s="1645"/>
      <c r="AM254" s="1645"/>
      <c r="AN254" s="1645"/>
      <c r="AO254" s="1645"/>
      <c r="AP254" s="1645"/>
      <c r="AQ254" s="1645"/>
      <c r="AR254" s="1645"/>
      <c r="AS254" s="1645"/>
      <c r="AT254" s="1645"/>
      <c r="AU254" s="1645"/>
      <c r="AV254" s="1645"/>
      <c r="AW254" s="1645"/>
      <c r="AX254" s="1645"/>
      <c r="AY254" s="1645"/>
      <c r="AZ254" s="1645"/>
      <c r="BA254" s="1645"/>
      <c r="BB254" s="1645"/>
      <c r="BC254" s="1645"/>
      <c r="BD254" s="1645"/>
      <c r="BE254" s="1645"/>
      <c r="BF254" s="1645"/>
      <c r="BG254" s="1645"/>
      <c r="BH254" s="1645"/>
      <c r="BI254" s="1645"/>
      <c r="BJ254" s="1645"/>
      <c r="BK254" s="1645"/>
      <c r="BL254" s="1645"/>
      <c r="BM254" s="1645"/>
      <c r="BN254" s="1645"/>
      <c r="BO254" s="1645"/>
      <c r="BP254" s="1645"/>
      <c r="BQ254" s="1645"/>
      <c r="BR254" s="1645"/>
      <c r="BS254" s="1645"/>
      <c r="BT254" s="1645"/>
      <c r="BU254" s="1645"/>
      <c r="BV254" s="1645"/>
      <c r="BW254" s="1645"/>
      <c r="BX254" s="1645"/>
      <c r="BY254" s="1645"/>
      <c r="BZ254" s="1645"/>
      <c r="CA254" s="1645"/>
      <c r="CB254" s="1645"/>
      <c r="CC254" s="1645"/>
      <c r="CD254" s="1645"/>
      <c r="CE254" s="1645"/>
      <c r="CF254" s="1325"/>
    </row>
    <row customHeight="1" ht="5.25" hidden="1">
      <c r="A255" s="1802"/>
      <c r="B255" s="1645"/>
      <c r="C255" s="1645"/>
      <c r="D255" s="2588"/>
      <c r="E255" s="644"/>
      <c r="F255" s="644"/>
      <c r="G255" s="644"/>
      <c r="H255" s="644"/>
      <c r="I255" s="644"/>
      <c r="J255" s="644"/>
      <c r="K255" s="644"/>
      <c r="L255" s="644"/>
      <c r="M255" s="644"/>
      <c r="N255" s="644"/>
      <c r="O255" s="644"/>
      <c r="P255" s="644"/>
      <c r="Q255" s="644"/>
      <c r="R255" s="644"/>
      <c r="S255" s="645"/>
      <c r="T255" s="727"/>
      <c r="U255" s="2383"/>
      <c r="V255" s="2383"/>
      <c r="W255" s="1645"/>
      <c r="X255" s="1645"/>
      <c r="Y255" s="1645"/>
      <c r="Z255" s="1645"/>
      <c r="AA255" s="1645"/>
      <c r="AB255" s="1645"/>
      <c r="AC255" s="1046"/>
      <c r="AD255" s="1047"/>
      <c r="AE255" s="1645"/>
      <c r="AF255" s="1645"/>
      <c r="AG255" s="1645"/>
      <c r="AH255" s="1645"/>
      <c r="AI255" s="1645"/>
      <c r="AJ255" s="1645"/>
      <c r="AK255" s="1645"/>
      <c r="AL255" s="1645"/>
      <c r="AM255" s="1645"/>
      <c r="AN255" s="1645"/>
      <c r="AO255" s="1645"/>
      <c r="AP255" s="1645"/>
      <c r="AQ255" s="1645"/>
      <c r="AR255" s="1645"/>
      <c r="AS255" s="1645"/>
      <c r="AT255" s="1645"/>
      <c r="AU255" s="1645"/>
      <c r="AV255" s="1645"/>
      <c r="AW255" s="1645"/>
      <c r="AX255" s="1645"/>
      <c r="AY255" s="1645"/>
      <c r="AZ255" s="1645"/>
      <c r="BA255" s="1645"/>
      <c r="BB255" s="1645"/>
      <c r="BC255" s="1645"/>
      <c r="BD255" s="1645"/>
      <c r="BE255" s="1645"/>
      <c r="BF255" s="1645"/>
      <c r="BG255" s="1645"/>
      <c r="BH255" s="1645"/>
      <c r="BI255" s="1645"/>
      <c r="BJ255" s="1645"/>
      <c r="BK255" s="1645"/>
      <c r="BL255" s="1645"/>
      <c r="BM255" s="1645"/>
      <c r="BN255" s="1645"/>
      <c r="BO255" s="1645"/>
      <c r="BP255" s="1645"/>
      <c r="BQ255" s="1645"/>
      <c r="BR255" s="1645"/>
      <c r="BS255" s="1645"/>
      <c r="BT255" s="1645"/>
      <c r="BU255" s="1645"/>
      <c r="BV255" s="1645"/>
      <c r="BW255" s="1645"/>
      <c r="BX255" s="1645"/>
      <c r="BY255" s="1645"/>
      <c r="BZ255" s="1645"/>
      <c r="CA255" s="1645"/>
      <c r="CB255" s="1645"/>
      <c r="CC255" s="1645"/>
      <c r="CD255" s="1645"/>
      <c r="CE255" s="1645"/>
      <c r="CF255" s="1325"/>
    </row>
    <row customHeight="1" ht="5.25" hidden="1">
      <c r="A256" s="1802"/>
      <c r="B256" s="1645"/>
      <c r="C256" s="1645"/>
      <c r="D256" s="2589"/>
      <c r="E256" s="1052"/>
      <c r="F256" s="1053"/>
      <c r="G256" s="1053"/>
      <c r="H256" s="1054"/>
      <c r="I256" s="1054"/>
      <c r="J256" s="1054"/>
      <c r="K256" s="1054"/>
      <c r="L256" s="1054"/>
      <c r="M256" s="1054"/>
      <c r="N256" s="1054"/>
      <c r="O256" s="1054"/>
      <c r="P256" s="1054"/>
      <c r="Q256" s="1054"/>
      <c r="R256" s="955"/>
      <c r="S256" s="1055"/>
      <c r="T256" s="727"/>
      <c r="U256" s="2383"/>
      <c r="V256" s="2383"/>
      <c r="W256" s="1645"/>
      <c r="X256" s="1645"/>
      <c r="Y256" s="1645"/>
      <c r="Z256" s="1645"/>
      <c r="AA256" s="1645"/>
      <c r="AB256" s="1645"/>
      <c r="AC256" s="1046"/>
      <c r="AD256" s="1047"/>
      <c r="AE256" s="1645"/>
      <c r="AF256" s="1645"/>
      <c r="AG256" s="1645"/>
      <c r="AH256" s="1645"/>
      <c r="AI256" s="1645"/>
      <c r="AJ256" s="1645"/>
      <c r="AK256" s="1645"/>
      <c r="AL256" s="1645"/>
      <c r="AM256" s="1645"/>
      <c r="AN256" s="1645"/>
      <c r="AO256" s="1645"/>
      <c r="AP256" s="1645"/>
      <c r="AQ256" s="1645"/>
      <c r="AR256" s="1645"/>
      <c r="AS256" s="1645"/>
      <c r="AT256" s="1645"/>
      <c r="AU256" s="1645"/>
      <c r="AV256" s="1645"/>
      <c r="AW256" s="1645"/>
      <c r="AX256" s="1645"/>
      <c r="AY256" s="1645"/>
      <c r="AZ256" s="1645"/>
      <c r="BA256" s="1645"/>
      <c r="BB256" s="1645"/>
      <c r="BC256" s="1645"/>
      <c r="BD256" s="1645"/>
      <c r="BE256" s="1645"/>
      <c r="BF256" s="1645"/>
      <c r="BG256" s="1645"/>
      <c r="BH256" s="1645"/>
      <c r="BI256" s="1645"/>
      <c r="BJ256" s="1645"/>
      <c r="BK256" s="1645"/>
      <c r="BL256" s="1645"/>
      <c r="BM256" s="1645"/>
      <c r="BN256" s="1645"/>
      <c r="BO256" s="1645"/>
      <c r="BP256" s="1645"/>
      <c r="BQ256" s="1645"/>
      <c r="BR256" s="1645"/>
      <c r="BS256" s="1645"/>
      <c r="BT256" s="1645"/>
      <c r="BU256" s="1645"/>
      <c r="BV256" s="1645"/>
      <c r="BW256" s="1645"/>
      <c r="BX256" s="1645"/>
      <c r="BY256" s="1645"/>
      <c r="BZ256" s="1645"/>
      <c r="CA256" s="1645"/>
      <c r="CB256" s="1645"/>
      <c r="CC256" s="1645"/>
      <c r="CD256" s="1645"/>
      <c r="CE256" s="1645"/>
      <c r="CF256" s="1325"/>
    </row>
    <row customHeight="1" ht="15" hidden="1">
      <c r="A257" s="632" t="s">
        <v>195</v>
      </c>
      <c r="B257" s="633"/>
      <c r="C257" s="633" t="s">
        <v>22</v>
      </c>
      <c r="D257" s="2587" t="s">
        <v>714</v>
      </c>
      <c r="E257" s="2386" t="s">
        <v>105</v>
      </c>
      <c r="F257" s="2387"/>
      <c r="G257" s="2388"/>
      <c r="H257" s="2392" t="str">
        <f>IF(A257="","",INDEX(DIFFERENTIATION_UNMERGE_VD,MATCH(A257,DIFFERENTIATION_ID_DIFF,0)))</f>
        <v>Производство тепловой энергии. Некомбинированная выработка</v>
      </c>
      <c r="I257" s="2392"/>
      <c r="J257" s="2392"/>
      <c r="K257" s="2392"/>
      <c r="L257" s="2392"/>
      <c r="M257" s="2392"/>
      <c r="N257" s="2392"/>
      <c r="O257" s="2392"/>
      <c r="P257" s="2392"/>
      <c r="Q257" s="2392"/>
      <c r="R257" s="2392"/>
      <c r="S257" s="728"/>
      <c r="T257" s="725"/>
      <c r="U257" s="634"/>
      <c r="V257" s="634"/>
      <c r="W257" s="635"/>
      <c r="X257" s="635"/>
      <c r="Y257" s="635"/>
      <c r="Z257" s="635"/>
      <c r="AA257" s="636"/>
      <c r="AB257" s="637"/>
      <c r="AC257" s="2384"/>
      <c r="AD257" s="638"/>
      <c r="AE257" s="639" t="s">
        <v>22</v>
      </c>
      <c r="AF257" s="639"/>
      <c r="AG257" s="640" t="s">
        <v>682</v>
      </c>
      <c r="AH257" s="641">
        <v>3</v>
      </c>
      <c r="AI257" s="634"/>
      <c r="AJ257" s="634"/>
      <c r="AK257" s="634"/>
      <c r="AL257" s="634"/>
      <c r="AM257" s="634"/>
      <c r="AN257" s="634"/>
      <c r="AO257" s="634"/>
      <c r="AP257" s="634"/>
      <c r="AQ257" s="634"/>
      <c r="AR257" s="634"/>
      <c r="AS257" s="634"/>
      <c r="AT257" s="634"/>
      <c r="AU257" s="634"/>
      <c r="AV257" s="634"/>
      <c r="AW257" s="634"/>
      <c r="AX257" s="634"/>
      <c r="AY257" s="634"/>
      <c r="AZ257" s="634"/>
      <c r="BA257" s="634"/>
      <c r="BB257" s="634"/>
      <c r="BC257" s="634"/>
      <c r="BD257" s="634"/>
      <c r="BE257" s="634"/>
      <c r="BF257" s="634"/>
      <c r="BG257" s="634"/>
      <c r="BH257" s="634"/>
      <c r="BI257" s="634"/>
      <c r="BJ257" s="634"/>
      <c r="BK257" s="634"/>
      <c r="BL257" s="634"/>
      <c r="BM257" s="634"/>
      <c r="BN257" s="634"/>
      <c r="BO257" s="634"/>
      <c r="BP257" s="634"/>
      <c r="BQ257" s="634"/>
      <c r="BR257" s="634"/>
      <c r="BS257" s="634"/>
      <c r="BT257" s="634"/>
      <c r="BU257" s="634"/>
      <c r="BV257" s="635"/>
      <c r="BW257" s="635"/>
      <c r="BX257" s="635"/>
      <c r="BY257" s="635"/>
      <c r="BZ257" s="635"/>
      <c r="CA257" s="635"/>
      <c r="CB257" s="635"/>
      <c r="CC257" s="635"/>
      <c r="CD257" s="635"/>
      <c r="CE257" s="635"/>
      <c r="CF257" s="1859"/>
    </row>
    <row customHeight="1" ht="15" hidden="1">
      <c r="A258" s="632"/>
      <c r="B258" s="633"/>
      <c r="C258" s="633"/>
      <c r="D258" s="2588"/>
      <c r="E258" s="2386" t="s">
        <v>637</v>
      </c>
      <c r="F258" s="2387"/>
      <c r="G258" s="2388"/>
      <c r="H258" s="2392" t="str">
        <f>IF(A257="","",INDEX(DIFFERENTIATION_UNMERGE_AREA,MATCH(A257,DIFFERENTIATION_ID_DIFF,0)))</f>
        <v>Территория 1</v>
      </c>
      <c r="I258" s="2392"/>
      <c r="J258" s="2392"/>
      <c r="K258" s="2392"/>
      <c r="L258" s="2392"/>
      <c r="M258" s="2392"/>
      <c r="N258" s="2392"/>
      <c r="O258" s="2392"/>
      <c r="P258" s="2392"/>
      <c r="Q258" s="2392"/>
      <c r="R258" s="2392"/>
      <c r="S258" s="728"/>
      <c r="T258" s="725"/>
      <c r="U258" s="634"/>
      <c r="V258" s="634"/>
      <c r="W258" s="635"/>
      <c r="X258" s="635"/>
      <c r="Y258" s="635"/>
      <c r="Z258" s="635"/>
      <c r="AA258" s="636"/>
      <c r="AB258" s="637"/>
      <c r="AC258" s="2384"/>
      <c r="AD258" s="638"/>
      <c r="AE258" s="639"/>
      <c r="AF258" s="639"/>
      <c r="AG258" s="640"/>
      <c r="AH258" s="641"/>
      <c r="AI258" s="634"/>
      <c r="AJ258" s="634"/>
      <c r="AK258" s="634"/>
      <c r="AL258" s="634"/>
      <c r="AM258" s="634"/>
      <c r="AN258" s="634"/>
      <c r="AO258" s="634"/>
      <c r="AP258" s="634"/>
      <c r="AQ258" s="634"/>
      <c r="AR258" s="634"/>
      <c r="AS258" s="634"/>
      <c r="AT258" s="634"/>
      <c r="AU258" s="634"/>
      <c r="AV258" s="634"/>
      <c r="AW258" s="634"/>
      <c r="AX258" s="634"/>
      <c r="AY258" s="634"/>
      <c r="AZ258" s="634"/>
      <c r="BA258" s="634"/>
      <c r="BB258" s="634"/>
      <c r="BC258" s="634"/>
      <c r="BD258" s="634"/>
      <c r="BE258" s="634"/>
      <c r="BF258" s="634"/>
      <c r="BG258" s="634"/>
      <c r="BH258" s="634"/>
      <c r="BI258" s="634"/>
      <c r="BJ258" s="634"/>
      <c r="BK258" s="634"/>
      <c r="BL258" s="634"/>
      <c r="BM258" s="634"/>
      <c r="BN258" s="634"/>
      <c r="BO258" s="634"/>
      <c r="BP258" s="634"/>
      <c r="BQ258" s="634"/>
      <c r="BR258" s="634"/>
      <c r="BS258" s="634"/>
      <c r="BT258" s="634"/>
      <c r="BU258" s="634"/>
      <c r="BV258" s="635"/>
      <c r="BW258" s="635"/>
      <c r="BX258" s="635"/>
      <c r="BY258" s="635"/>
      <c r="BZ258" s="635"/>
      <c r="CA258" s="635"/>
      <c r="CB258" s="635"/>
      <c r="CC258" s="635"/>
      <c r="CD258" s="635"/>
      <c r="CE258" s="635"/>
      <c r="CF258" s="1859"/>
    </row>
    <row customHeight="1" ht="15" hidden="1">
      <c r="A259" s="632"/>
      <c r="B259" s="633"/>
      <c r="C259" s="633"/>
      <c r="D259" s="2588"/>
      <c r="E259" s="2386" t="s">
        <v>638</v>
      </c>
      <c r="F259" s="2387"/>
      <c r="G259" s="2388"/>
      <c r="H259" s="2392" t="str">
        <f>IF(A257="","",INDEX(DIFFERENTIATION_UNMERGE_SYSTEM,MATCH(A257,DIFFERENTIATION_ID_DIFF,0)))</f>
        <v>Котельная №27, п.Богатырь, ул.Управленческая</v>
      </c>
      <c r="I259" s="2392"/>
      <c r="J259" s="2392"/>
      <c r="K259" s="2392"/>
      <c r="L259" s="2392"/>
      <c r="M259" s="2392"/>
      <c r="N259" s="2392"/>
      <c r="O259" s="2392"/>
      <c r="P259" s="2392"/>
      <c r="Q259" s="2392"/>
      <c r="R259" s="2392"/>
      <c r="S259" s="728"/>
      <c r="T259" s="725"/>
      <c r="U259" s="634"/>
      <c r="V259" s="634"/>
      <c r="W259" s="635"/>
      <c r="X259" s="635"/>
      <c r="Y259" s="635"/>
      <c r="Z259" s="635"/>
      <c r="AA259" s="636"/>
      <c r="AB259" s="637"/>
      <c r="AC259" s="2384"/>
      <c r="AD259" s="638"/>
      <c r="AE259" s="639"/>
      <c r="AF259" s="639"/>
      <c r="AG259" s="640"/>
      <c r="AH259" s="641"/>
      <c r="AI259" s="634"/>
      <c r="AJ259" s="634"/>
      <c r="AK259" s="634"/>
      <c r="AL259" s="634"/>
      <c r="AM259" s="634"/>
      <c r="AN259" s="634"/>
      <c r="AO259" s="634"/>
      <c r="AP259" s="634"/>
      <c r="AQ259" s="634"/>
      <c r="AR259" s="634"/>
      <c r="AS259" s="634"/>
      <c r="AT259" s="634"/>
      <c r="AU259" s="634"/>
      <c r="AV259" s="634"/>
      <c r="AW259" s="634"/>
      <c r="AX259" s="634"/>
      <c r="AY259" s="634"/>
      <c r="AZ259" s="634"/>
      <c r="BA259" s="634"/>
      <c r="BB259" s="634"/>
      <c r="BC259" s="634"/>
      <c r="BD259" s="634"/>
      <c r="BE259" s="634"/>
      <c r="BF259" s="634"/>
      <c r="BG259" s="634"/>
      <c r="BH259" s="634"/>
      <c r="BI259" s="634"/>
      <c r="BJ259" s="634"/>
      <c r="BK259" s="634"/>
      <c r="BL259" s="634"/>
      <c r="BM259" s="634"/>
      <c r="BN259" s="634"/>
      <c r="BO259" s="634"/>
      <c r="BP259" s="634"/>
      <c r="BQ259" s="634"/>
      <c r="BR259" s="634"/>
      <c r="BS259" s="634"/>
      <c r="BT259" s="634"/>
      <c r="BU259" s="634"/>
      <c r="BV259" s="635"/>
      <c r="BW259" s="635"/>
      <c r="BX259" s="635"/>
      <c r="BY259" s="635"/>
      <c r="BZ259" s="635"/>
      <c r="CA259" s="635"/>
      <c r="CB259" s="635"/>
      <c r="CC259" s="635"/>
      <c r="CD259" s="635"/>
      <c r="CE259" s="635"/>
      <c r="CF259" s="1859"/>
    </row>
    <row customHeight="1" ht="24.75" hidden="1">
      <c r="A260" s="1815"/>
      <c r="B260" s="1169"/>
      <c r="C260" s="421"/>
      <c r="D260" s="2588"/>
      <c r="E260" s="2385" t="s">
        <v>683</v>
      </c>
      <c r="F260" s="2385"/>
      <c r="G260" s="2385"/>
      <c r="H260" s="2385"/>
      <c r="I260" s="2385"/>
      <c r="J260" s="2385"/>
      <c r="K260" s="2385"/>
      <c r="L260" s="2385"/>
      <c r="M260" s="2385"/>
      <c r="N260" s="2385"/>
      <c r="O260" s="2385"/>
      <c r="P260" s="2385"/>
      <c r="Q260" s="567">
        <f>SUMIF(T261:T262,"i",Q261:Q262)</f>
        <v>0</v>
      </c>
      <c r="R260" s="1026"/>
      <c r="S260" s="1807" t="s">
        <v>684</v>
      </c>
      <c r="T260" s="726" t="s">
        <v>685</v>
      </c>
      <c r="U260" s="2383">
        <v>1</v>
      </c>
      <c r="V260" s="2383" t="s">
        <v>648</v>
      </c>
      <c r="W260" s="1169"/>
      <c r="X260" s="1169"/>
      <c r="Y260" s="1169"/>
      <c r="Z260" s="1169"/>
      <c r="AA260" s="1645"/>
      <c r="AB260" s="1169"/>
      <c r="AC260" s="2384"/>
      <c r="AD260" s="638"/>
      <c r="AE260" s="1169"/>
      <c r="AF260" s="1169"/>
      <c r="AG260" s="1645"/>
      <c r="AH260" s="1645"/>
      <c r="AI260" s="1645"/>
      <c r="AJ260" s="1645"/>
      <c r="AK260" s="1645"/>
      <c r="AL260" s="1645"/>
      <c r="AM260" s="1645"/>
      <c r="AN260" s="1645"/>
      <c r="AO260" s="1645"/>
      <c r="AP260" s="1645"/>
      <c r="AQ260" s="1645"/>
      <c r="AR260" s="1645"/>
      <c r="AS260" s="1645"/>
      <c r="AT260" s="1645"/>
      <c r="AU260" s="1645"/>
      <c r="AV260" s="1645"/>
      <c r="AW260" s="1645"/>
      <c r="AX260" s="1645"/>
      <c r="AY260" s="1645"/>
      <c r="AZ260" s="1645"/>
      <c r="BA260" s="1645"/>
      <c r="BB260" s="1645"/>
      <c r="BC260" s="1645"/>
      <c r="BD260" s="1645"/>
      <c r="BE260" s="1645"/>
      <c r="BF260" s="1645"/>
      <c r="BG260" s="1645"/>
      <c r="BH260" s="1645"/>
      <c r="BI260" s="1645"/>
      <c r="BJ260" s="1645"/>
      <c r="BK260" s="1645"/>
      <c r="BL260" s="1645"/>
      <c r="BM260" s="1645"/>
      <c r="BN260" s="1645"/>
      <c r="BO260" s="1645"/>
      <c r="BP260" s="1645"/>
      <c r="BQ260" s="1645"/>
      <c r="BR260" s="1645"/>
      <c r="BS260" s="1645"/>
      <c r="BT260" s="1645"/>
      <c r="BU260" s="1645"/>
      <c r="BV260" s="1169"/>
      <c r="BW260" s="1169"/>
      <c r="BX260" s="1169"/>
      <c r="BY260" s="1169"/>
      <c r="BZ260" s="1169"/>
      <c r="CA260" s="1169"/>
      <c r="CB260" s="1169"/>
      <c r="CC260" s="1169"/>
      <c r="CD260" s="1169"/>
      <c r="CE260" s="1169"/>
      <c r="CF260" s="1859"/>
    </row>
    <row customHeight="1" ht="11.25" hidden="1">
      <c r="A261" s="1802"/>
      <c r="B261" s="1645"/>
      <c r="C261" s="1645"/>
      <c r="D261" s="2588"/>
      <c r="E261" s="644"/>
      <c r="F261" s="644">
        <v>0</v>
      </c>
      <c r="G261" s="644"/>
      <c r="H261" s="644"/>
      <c r="I261" s="644"/>
      <c r="J261" s="644"/>
      <c r="K261" s="644"/>
      <c r="L261" s="644"/>
      <c r="M261" s="644"/>
      <c r="N261" s="644"/>
      <c r="O261" s="644"/>
      <c r="P261" s="644"/>
      <c r="Q261" s="644"/>
      <c r="R261" s="644"/>
      <c r="S261" s="645"/>
      <c r="T261" s="727"/>
      <c r="U261" s="2383"/>
      <c r="V261" s="2383"/>
      <c r="W261" s="1645"/>
      <c r="X261" s="1645"/>
      <c r="Y261" s="1645"/>
      <c r="Z261" s="1645"/>
      <c r="AA261" s="1645"/>
      <c r="AB261" s="1169"/>
      <c r="AC261" s="2384"/>
      <c r="AD261" s="638"/>
      <c r="AE261" s="1169"/>
      <c r="AF261" s="1169"/>
      <c r="AG261" s="1645"/>
      <c r="AH261" s="1645"/>
      <c r="AI261" s="1645"/>
      <c r="AJ261" s="1645"/>
      <c r="AK261" s="1645"/>
      <c r="AL261" s="1645"/>
      <c r="AM261" s="1645"/>
      <c r="AN261" s="1645"/>
      <c r="AO261" s="1645"/>
      <c r="AP261" s="1645"/>
      <c r="AQ261" s="1645"/>
      <c r="AR261" s="1645"/>
      <c r="AS261" s="1645"/>
      <c r="AT261" s="1645"/>
      <c r="AU261" s="1645"/>
      <c r="AV261" s="1645"/>
      <c r="AW261" s="1645"/>
      <c r="AX261" s="1645"/>
      <c r="AY261" s="1645"/>
      <c r="AZ261" s="1645"/>
      <c r="BA261" s="1645"/>
      <c r="BB261" s="1645"/>
      <c r="BC261" s="1645"/>
      <c r="BD261" s="1645"/>
      <c r="BE261" s="1645"/>
      <c r="BF261" s="1645"/>
      <c r="BG261" s="1645"/>
      <c r="BH261" s="1645"/>
      <c r="BI261" s="1645"/>
      <c r="BJ261" s="1645"/>
      <c r="BK261" s="1645"/>
      <c r="BL261" s="1645"/>
      <c r="BM261" s="1645"/>
      <c r="BN261" s="1645"/>
      <c r="BO261" s="1645"/>
      <c r="BP261" s="1645"/>
      <c r="BQ261" s="1645"/>
      <c r="BR261" s="1645"/>
      <c r="BS261" s="1645"/>
      <c r="BT261" s="1645"/>
      <c r="BU261" s="1645"/>
      <c r="BV261" s="1645"/>
      <c r="BW261" s="1645"/>
      <c r="BX261" s="1645"/>
      <c r="BY261" s="1645"/>
      <c r="BZ261" s="1645"/>
      <c r="CA261" s="1645"/>
      <c r="CB261" s="1645"/>
      <c r="CC261" s="1645"/>
      <c r="CD261" s="1645"/>
      <c r="CE261" s="1645"/>
      <c r="CF261" s="1859"/>
    </row>
    <row customHeight="1" ht="11.25" hidden="1">
      <c r="A262" s="1815"/>
      <c r="B262" s="1169"/>
      <c r="C262" s="421"/>
      <c r="D262" s="2588"/>
      <c r="E262" s="658" t="s">
        <v>22</v>
      </c>
      <c r="F262" s="1177" t="s">
        <v>22</v>
      </c>
      <c r="G262" s="1177" t="s">
        <v>688</v>
      </c>
      <c r="H262" s="660" t="s">
        <v>22</v>
      </c>
      <c r="I262" s="660"/>
      <c r="J262" s="660"/>
      <c r="K262" s="660"/>
      <c r="L262" s="660"/>
      <c r="M262" s="660"/>
      <c r="N262" s="660"/>
      <c r="O262" s="660"/>
      <c r="P262" s="660"/>
      <c r="Q262" s="660"/>
      <c r="R262" s="661"/>
      <c r="S262" s="662"/>
      <c r="T262" s="727"/>
      <c r="U262" s="2383"/>
      <c r="V262" s="2383"/>
      <c r="W262" s="1169"/>
      <c r="X262" s="1169"/>
      <c r="Y262" s="1169"/>
      <c r="Z262" s="1169"/>
      <c r="AA262" s="1645"/>
      <c r="AB262" s="1169"/>
      <c r="AC262" s="2384"/>
      <c r="AD262" s="638"/>
      <c r="AE262" s="1169"/>
      <c r="AF262" s="1169"/>
      <c r="AG262" s="1645"/>
      <c r="AH262" s="1645"/>
      <c r="AI262" s="1645"/>
      <c r="AJ262" s="1645"/>
      <c r="AK262" s="1645"/>
      <c r="AL262" s="1645"/>
      <c r="AM262" s="1645"/>
      <c r="AN262" s="1645"/>
      <c r="AO262" s="1645"/>
      <c r="AP262" s="1645"/>
      <c r="AQ262" s="1645"/>
      <c r="AR262" s="1645"/>
      <c r="AS262" s="1645"/>
      <c r="AT262" s="1645"/>
      <c r="AU262" s="1645"/>
      <c r="AV262" s="1645"/>
      <c r="AW262" s="1645"/>
      <c r="AX262" s="1645"/>
      <c r="AY262" s="1645"/>
      <c r="AZ262" s="1645"/>
      <c r="BA262" s="1645"/>
      <c r="BB262" s="1645"/>
      <c r="BC262" s="1645"/>
      <c r="BD262" s="1645"/>
      <c r="BE262" s="1645"/>
      <c r="BF262" s="1645"/>
      <c r="BG262" s="1645"/>
      <c r="BH262" s="1645"/>
      <c r="BI262" s="1645"/>
      <c r="BJ262" s="1645"/>
      <c r="BK262" s="1645"/>
      <c r="BL262" s="1645"/>
      <c r="BM262" s="1645"/>
      <c r="BN262" s="1645"/>
      <c r="BO262" s="1645"/>
      <c r="BP262" s="1645"/>
      <c r="BQ262" s="1645"/>
      <c r="BR262" s="1645"/>
      <c r="BS262" s="1645"/>
      <c r="BT262" s="1645"/>
      <c r="BU262" s="1645"/>
      <c r="BV262" s="1169"/>
      <c r="BW262" s="1169"/>
      <c r="BX262" s="1169"/>
      <c r="BY262" s="1169"/>
      <c r="BZ262" s="1169"/>
      <c r="CA262" s="1169"/>
      <c r="CB262" s="1169"/>
      <c r="CC262" s="1169"/>
      <c r="CD262" s="1169"/>
      <c r="CE262" s="1169"/>
      <c r="CF262" s="1859"/>
    </row>
    <row customHeight="1" ht="5.25" hidden="1">
      <c r="A263" s="1802"/>
      <c r="B263" s="1645"/>
      <c r="C263" s="1645"/>
      <c r="D263" s="2588"/>
      <c r="E263" s="1048"/>
      <c r="F263" s="1048"/>
      <c r="G263" s="1048"/>
      <c r="H263" s="1048"/>
      <c r="I263" s="1048"/>
      <c r="J263" s="1048"/>
      <c r="K263" s="1048"/>
      <c r="L263" s="1048"/>
      <c r="M263" s="1048"/>
      <c r="N263" s="1048"/>
      <c r="O263" s="1048"/>
      <c r="P263" s="1048"/>
      <c r="Q263" s="1049"/>
      <c r="R263" s="1050"/>
      <c r="S263" s="1051"/>
      <c r="T263" s="726" t="s">
        <v>685</v>
      </c>
      <c r="U263" s="2383">
        <v>1</v>
      </c>
      <c r="V263" s="2383" t="s">
        <v>648</v>
      </c>
      <c r="W263" s="1645"/>
      <c r="X263" s="1645"/>
      <c r="Y263" s="1645"/>
      <c r="Z263" s="1645"/>
      <c r="AA263" s="1645"/>
      <c r="AB263" s="1645"/>
      <c r="AC263" s="1046"/>
      <c r="AD263" s="1047"/>
      <c r="AE263" s="1645"/>
      <c r="AF263" s="1645"/>
      <c r="AG263" s="1645"/>
      <c r="AH263" s="1645"/>
      <c r="AI263" s="1645"/>
      <c r="AJ263" s="1645"/>
      <c r="AK263" s="1645"/>
      <c r="AL263" s="1645"/>
      <c r="AM263" s="1645"/>
      <c r="AN263" s="1645"/>
      <c r="AO263" s="1645"/>
      <c r="AP263" s="1645"/>
      <c r="AQ263" s="1645"/>
      <c r="AR263" s="1645"/>
      <c r="AS263" s="1645"/>
      <c r="AT263" s="1645"/>
      <c r="AU263" s="1645"/>
      <c r="AV263" s="1645"/>
      <c r="AW263" s="1645"/>
      <c r="AX263" s="1645"/>
      <c r="AY263" s="1645"/>
      <c r="AZ263" s="1645"/>
      <c r="BA263" s="1645"/>
      <c r="BB263" s="1645"/>
      <c r="BC263" s="1645"/>
      <c r="BD263" s="1645"/>
      <c r="BE263" s="1645"/>
      <c r="BF263" s="1645"/>
      <c r="BG263" s="1645"/>
      <c r="BH263" s="1645"/>
      <c r="BI263" s="1645"/>
      <c r="BJ263" s="1645"/>
      <c r="BK263" s="1645"/>
      <c r="BL263" s="1645"/>
      <c r="BM263" s="1645"/>
      <c r="BN263" s="1645"/>
      <c r="BO263" s="1645"/>
      <c r="BP263" s="1645"/>
      <c r="BQ263" s="1645"/>
      <c r="BR263" s="1645"/>
      <c r="BS263" s="1645"/>
      <c r="BT263" s="1645"/>
      <c r="BU263" s="1645"/>
      <c r="BV263" s="1645"/>
      <c r="BW263" s="1645"/>
      <c r="BX263" s="1645"/>
      <c r="BY263" s="1645"/>
      <c r="BZ263" s="1645"/>
      <c r="CA263" s="1645"/>
      <c r="CB263" s="1645"/>
      <c r="CC263" s="1645"/>
      <c r="CD263" s="1645"/>
      <c r="CE263" s="1645"/>
      <c r="CF263" s="1325"/>
    </row>
    <row customHeight="1" ht="5.25" hidden="1">
      <c r="A264" s="1802"/>
      <c r="B264" s="1645"/>
      <c r="C264" s="1645"/>
      <c r="D264" s="2588"/>
      <c r="E264" s="644"/>
      <c r="F264" s="644"/>
      <c r="G264" s="644"/>
      <c r="H264" s="644"/>
      <c r="I264" s="644"/>
      <c r="J264" s="644"/>
      <c r="K264" s="644"/>
      <c r="L264" s="644"/>
      <c r="M264" s="644"/>
      <c r="N264" s="644"/>
      <c r="O264" s="644"/>
      <c r="P264" s="644"/>
      <c r="Q264" s="644"/>
      <c r="R264" s="644"/>
      <c r="S264" s="645"/>
      <c r="T264" s="727"/>
      <c r="U264" s="2383"/>
      <c r="V264" s="2383"/>
      <c r="W264" s="1645"/>
      <c r="X264" s="1645"/>
      <c r="Y264" s="1645"/>
      <c r="Z264" s="1645"/>
      <c r="AA264" s="1645"/>
      <c r="AB264" s="1645"/>
      <c r="AC264" s="1046"/>
      <c r="AD264" s="1047"/>
      <c r="AE264" s="1645"/>
      <c r="AF264" s="1645"/>
      <c r="AG264" s="1645"/>
      <c r="AH264" s="1645"/>
      <c r="AI264" s="1645"/>
      <c r="AJ264" s="1645"/>
      <c r="AK264" s="1645"/>
      <c r="AL264" s="1645"/>
      <c r="AM264" s="1645"/>
      <c r="AN264" s="1645"/>
      <c r="AO264" s="1645"/>
      <c r="AP264" s="1645"/>
      <c r="AQ264" s="1645"/>
      <c r="AR264" s="1645"/>
      <c r="AS264" s="1645"/>
      <c r="AT264" s="1645"/>
      <c r="AU264" s="1645"/>
      <c r="AV264" s="1645"/>
      <c r="AW264" s="1645"/>
      <c r="AX264" s="1645"/>
      <c r="AY264" s="1645"/>
      <c r="AZ264" s="1645"/>
      <c r="BA264" s="1645"/>
      <c r="BB264" s="1645"/>
      <c r="BC264" s="1645"/>
      <c r="BD264" s="1645"/>
      <c r="BE264" s="1645"/>
      <c r="BF264" s="1645"/>
      <c r="BG264" s="1645"/>
      <c r="BH264" s="1645"/>
      <c r="BI264" s="1645"/>
      <c r="BJ264" s="1645"/>
      <c r="BK264" s="1645"/>
      <c r="BL264" s="1645"/>
      <c r="BM264" s="1645"/>
      <c r="BN264" s="1645"/>
      <c r="BO264" s="1645"/>
      <c r="BP264" s="1645"/>
      <c r="BQ264" s="1645"/>
      <c r="BR264" s="1645"/>
      <c r="BS264" s="1645"/>
      <c r="BT264" s="1645"/>
      <c r="BU264" s="1645"/>
      <c r="BV264" s="1645"/>
      <c r="BW264" s="1645"/>
      <c r="BX264" s="1645"/>
      <c r="BY264" s="1645"/>
      <c r="BZ264" s="1645"/>
      <c r="CA264" s="1645"/>
      <c r="CB264" s="1645"/>
      <c r="CC264" s="1645"/>
      <c r="CD264" s="1645"/>
      <c r="CE264" s="1645"/>
      <c r="CF264" s="1325"/>
    </row>
    <row customHeight="1" ht="5.25" hidden="1">
      <c r="A265" s="1802"/>
      <c r="B265" s="1645"/>
      <c r="C265" s="1645"/>
      <c r="D265" s="2589"/>
      <c r="E265" s="1052"/>
      <c r="F265" s="1053"/>
      <c r="G265" s="1053"/>
      <c r="H265" s="1054"/>
      <c r="I265" s="1054"/>
      <c r="J265" s="1054"/>
      <c r="K265" s="1054"/>
      <c r="L265" s="1054"/>
      <c r="M265" s="1054"/>
      <c r="N265" s="1054"/>
      <c r="O265" s="1054"/>
      <c r="P265" s="1054"/>
      <c r="Q265" s="1054"/>
      <c r="R265" s="955"/>
      <c r="S265" s="1055"/>
      <c r="T265" s="727"/>
      <c r="U265" s="2383"/>
      <c r="V265" s="2383"/>
      <c r="W265" s="1645"/>
      <c r="X265" s="1645"/>
      <c r="Y265" s="1645"/>
      <c r="Z265" s="1645"/>
      <c r="AA265" s="1645"/>
      <c r="AB265" s="1645"/>
      <c r="AC265" s="1046"/>
      <c r="AD265" s="1047"/>
      <c r="AE265" s="1645"/>
      <c r="AF265" s="1645"/>
      <c r="AG265" s="1645"/>
      <c r="AH265" s="1645"/>
      <c r="AI265" s="1645"/>
      <c r="AJ265" s="1645"/>
      <c r="AK265" s="1645"/>
      <c r="AL265" s="1645"/>
      <c r="AM265" s="1645"/>
      <c r="AN265" s="1645"/>
      <c r="AO265" s="1645"/>
      <c r="AP265" s="1645"/>
      <c r="AQ265" s="1645"/>
      <c r="AR265" s="1645"/>
      <c r="AS265" s="1645"/>
      <c r="AT265" s="1645"/>
      <c r="AU265" s="1645"/>
      <c r="AV265" s="1645"/>
      <c r="AW265" s="1645"/>
      <c r="AX265" s="1645"/>
      <c r="AY265" s="1645"/>
      <c r="AZ265" s="1645"/>
      <c r="BA265" s="1645"/>
      <c r="BB265" s="1645"/>
      <c r="BC265" s="1645"/>
      <c r="BD265" s="1645"/>
      <c r="BE265" s="1645"/>
      <c r="BF265" s="1645"/>
      <c r="BG265" s="1645"/>
      <c r="BH265" s="1645"/>
      <c r="BI265" s="1645"/>
      <c r="BJ265" s="1645"/>
      <c r="BK265" s="1645"/>
      <c r="BL265" s="1645"/>
      <c r="BM265" s="1645"/>
      <c r="BN265" s="1645"/>
      <c r="BO265" s="1645"/>
      <c r="BP265" s="1645"/>
      <c r="BQ265" s="1645"/>
      <c r="BR265" s="1645"/>
      <c r="BS265" s="1645"/>
      <c r="BT265" s="1645"/>
      <c r="BU265" s="1645"/>
      <c r="BV265" s="1645"/>
      <c r="BW265" s="1645"/>
      <c r="BX265" s="1645"/>
      <c r="BY265" s="1645"/>
      <c r="BZ265" s="1645"/>
      <c r="CA265" s="1645"/>
      <c r="CB265" s="1645"/>
      <c r="CC265" s="1645"/>
      <c r="CD265" s="1645"/>
      <c r="CE265" s="1645"/>
      <c r="CF265" s="1325"/>
    </row>
    <row customHeight="1" ht="15" hidden="1">
      <c r="A266" s="632" t="s">
        <v>198</v>
      </c>
      <c r="B266" s="633"/>
      <c r="C266" s="633" t="s">
        <v>22</v>
      </c>
      <c r="D266" s="2587" t="s">
        <v>715</v>
      </c>
      <c r="E266" s="2386" t="s">
        <v>105</v>
      </c>
      <c r="F266" s="2387"/>
      <c r="G266" s="2388"/>
      <c r="H266" s="2392" t="str">
        <f>IF(A266="","",INDEX(DIFFERENTIATION_UNMERGE_VD,MATCH(A266,DIFFERENTIATION_ID_DIFF,0)))</f>
        <v>Производство. Теплоноситель</v>
      </c>
      <c r="I266" s="2392"/>
      <c r="J266" s="2392"/>
      <c r="K266" s="2392"/>
      <c r="L266" s="2392"/>
      <c r="M266" s="2392"/>
      <c r="N266" s="2392"/>
      <c r="O266" s="2392"/>
      <c r="P266" s="2392"/>
      <c r="Q266" s="2392"/>
      <c r="R266" s="2392"/>
      <c r="S266" s="728"/>
      <c r="T266" s="725"/>
      <c r="U266" s="634"/>
      <c r="V266" s="634"/>
      <c r="W266" s="635"/>
      <c r="X266" s="635"/>
      <c r="Y266" s="635"/>
      <c r="Z266" s="635"/>
      <c r="AA266" s="636"/>
      <c r="AB266" s="637"/>
      <c r="AC266" s="2384"/>
      <c r="AD266" s="638"/>
      <c r="AE266" s="639" t="s">
        <v>22</v>
      </c>
      <c r="AF266" s="639"/>
      <c r="AG266" s="640" t="s">
        <v>682</v>
      </c>
      <c r="AH266" s="641">
        <v>3</v>
      </c>
      <c r="AI266" s="634"/>
      <c r="AJ266" s="634"/>
      <c r="AK266" s="634"/>
      <c r="AL266" s="634"/>
      <c r="AM266" s="634"/>
      <c r="AN266" s="634"/>
      <c r="AO266" s="634"/>
      <c r="AP266" s="634"/>
      <c r="AQ266" s="634"/>
      <c r="AR266" s="634"/>
      <c r="AS266" s="634"/>
      <c r="AT266" s="634"/>
      <c r="AU266" s="634"/>
      <c r="AV266" s="634"/>
      <c r="AW266" s="634"/>
      <c r="AX266" s="634"/>
      <c r="AY266" s="634"/>
      <c r="AZ266" s="634"/>
      <c r="BA266" s="634"/>
      <c r="BB266" s="634"/>
      <c r="BC266" s="634"/>
      <c r="BD266" s="634"/>
      <c r="BE266" s="634"/>
      <c r="BF266" s="634"/>
      <c r="BG266" s="634"/>
      <c r="BH266" s="634"/>
      <c r="BI266" s="634"/>
      <c r="BJ266" s="634"/>
      <c r="BK266" s="634"/>
      <c r="BL266" s="634"/>
      <c r="BM266" s="634"/>
      <c r="BN266" s="634"/>
      <c r="BO266" s="634"/>
      <c r="BP266" s="634"/>
      <c r="BQ266" s="634"/>
      <c r="BR266" s="634"/>
      <c r="BS266" s="634"/>
      <c r="BT266" s="634"/>
      <c r="BU266" s="634"/>
      <c r="BV266" s="635"/>
      <c r="BW266" s="635"/>
      <c r="BX266" s="635"/>
      <c r="BY266" s="635"/>
      <c r="BZ266" s="635"/>
      <c r="CA266" s="635"/>
      <c r="CB266" s="635"/>
      <c r="CC266" s="635"/>
      <c r="CD266" s="635"/>
      <c r="CE266" s="635"/>
      <c r="CF266" s="1859"/>
    </row>
    <row customHeight="1" ht="15" hidden="1">
      <c r="A267" s="632"/>
      <c r="B267" s="633"/>
      <c r="C267" s="633"/>
      <c r="D267" s="2588"/>
      <c r="E267" s="2386" t="s">
        <v>637</v>
      </c>
      <c r="F267" s="2387"/>
      <c r="G267" s="2388"/>
      <c r="H267" s="2392" t="str">
        <f>IF(A266="","",INDEX(DIFFERENTIATION_UNMERGE_AREA,MATCH(A266,DIFFERENTIATION_ID_DIFF,0)))</f>
        <v>Территория 1</v>
      </c>
      <c r="I267" s="2392"/>
      <c r="J267" s="2392"/>
      <c r="K267" s="2392"/>
      <c r="L267" s="2392"/>
      <c r="M267" s="2392"/>
      <c r="N267" s="2392"/>
      <c r="O267" s="2392"/>
      <c r="P267" s="2392"/>
      <c r="Q267" s="2392"/>
      <c r="R267" s="2392"/>
      <c r="S267" s="728"/>
      <c r="T267" s="725"/>
      <c r="U267" s="634"/>
      <c r="V267" s="634"/>
      <c r="W267" s="635"/>
      <c r="X267" s="635"/>
      <c r="Y267" s="635"/>
      <c r="Z267" s="635"/>
      <c r="AA267" s="636"/>
      <c r="AB267" s="637"/>
      <c r="AC267" s="2384"/>
      <c r="AD267" s="638"/>
      <c r="AE267" s="639"/>
      <c r="AF267" s="639"/>
      <c r="AG267" s="640"/>
      <c r="AH267" s="641"/>
      <c r="AI267" s="634"/>
      <c r="AJ267" s="634"/>
      <c r="AK267" s="634"/>
      <c r="AL267" s="634"/>
      <c r="AM267" s="634"/>
      <c r="AN267" s="634"/>
      <c r="AO267" s="634"/>
      <c r="AP267" s="634"/>
      <c r="AQ267" s="634"/>
      <c r="AR267" s="634"/>
      <c r="AS267" s="634"/>
      <c r="AT267" s="634"/>
      <c r="AU267" s="634"/>
      <c r="AV267" s="634"/>
      <c r="AW267" s="634"/>
      <c r="AX267" s="634"/>
      <c r="AY267" s="634"/>
      <c r="AZ267" s="634"/>
      <c r="BA267" s="634"/>
      <c r="BB267" s="634"/>
      <c r="BC267" s="634"/>
      <c r="BD267" s="634"/>
      <c r="BE267" s="634"/>
      <c r="BF267" s="634"/>
      <c r="BG267" s="634"/>
      <c r="BH267" s="634"/>
      <c r="BI267" s="634"/>
      <c r="BJ267" s="634"/>
      <c r="BK267" s="634"/>
      <c r="BL267" s="634"/>
      <c r="BM267" s="634"/>
      <c r="BN267" s="634"/>
      <c r="BO267" s="634"/>
      <c r="BP267" s="634"/>
      <c r="BQ267" s="634"/>
      <c r="BR267" s="634"/>
      <c r="BS267" s="634"/>
      <c r="BT267" s="634"/>
      <c r="BU267" s="634"/>
      <c r="BV267" s="635"/>
      <c r="BW267" s="635"/>
      <c r="BX267" s="635"/>
      <c r="BY267" s="635"/>
      <c r="BZ267" s="635"/>
      <c r="CA267" s="635"/>
      <c r="CB267" s="635"/>
      <c r="CC267" s="635"/>
      <c r="CD267" s="635"/>
      <c r="CE267" s="635"/>
      <c r="CF267" s="1859"/>
    </row>
    <row customHeight="1" ht="15" hidden="1">
      <c r="A268" s="632"/>
      <c r="B268" s="633"/>
      <c r="C268" s="633"/>
      <c r="D268" s="2588"/>
      <c r="E268" s="2386" t="s">
        <v>638</v>
      </c>
      <c r="F268" s="2387"/>
      <c r="G268" s="2388"/>
      <c r="H268" s="2392" t="str">
        <f>IF(A266="","",INDEX(DIFFERENTIATION_UNMERGE_SYSTEM,MATCH(A266,DIFFERENTIATION_ID_DIFF,0)))</f>
        <v>Котельная №13, ул.Морквашинская</v>
      </c>
      <c r="I268" s="2392"/>
      <c r="J268" s="2392"/>
      <c r="K268" s="2392"/>
      <c r="L268" s="2392"/>
      <c r="M268" s="2392"/>
      <c r="N268" s="2392"/>
      <c r="O268" s="2392"/>
      <c r="P268" s="2392"/>
      <c r="Q268" s="2392"/>
      <c r="R268" s="2392"/>
      <c r="S268" s="728"/>
      <c r="T268" s="725"/>
      <c r="U268" s="634"/>
      <c r="V268" s="634"/>
      <c r="W268" s="635"/>
      <c r="X268" s="635"/>
      <c r="Y268" s="635"/>
      <c r="Z268" s="635"/>
      <c r="AA268" s="636"/>
      <c r="AB268" s="637"/>
      <c r="AC268" s="2384"/>
      <c r="AD268" s="638"/>
      <c r="AE268" s="639"/>
      <c r="AF268" s="639"/>
      <c r="AG268" s="640"/>
      <c r="AH268" s="641"/>
      <c r="AI268" s="634"/>
      <c r="AJ268" s="634"/>
      <c r="AK268" s="634"/>
      <c r="AL268" s="634"/>
      <c r="AM268" s="634"/>
      <c r="AN268" s="634"/>
      <c r="AO268" s="634"/>
      <c r="AP268" s="634"/>
      <c r="AQ268" s="634"/>
      <c r="AR268" s="634"/>
      <c r="AS268" s="634"/>
      <c r="AT268" s="634"/>
      <c r="AU268" s="634"/>
      <c r="AV268" s="634"/>
      <c r="AW268" s="634"/>
      <c r="AX268" s="634"/>
      <c r="AY268" s="634"/>
      <c r="AZ268" s="634"/>
      <c r="BA268" s="634"/>
      <c r="BB268" s="634"/>
      <c r="BC268" s="634"/>
      <c r="BD268" s="634"/>
      <c r="BE268" s="634"/>
      <c r="BF268" s="634"/>
      <c r="BG268" s="634"/>
      <c r="BH268" s="634"/>
      <c r="BI268" s="634"/>
      <c r="BJ268" s="634"/>
      <c r="BK268" s="634"/>
      <c r="BL268" s="634"/>
      <c r="BM268" s="634"/>
      <c r="BN268" s="634"/>
      <c r="BO268" s="634"/>
      <c r="BP268" s="634"/>
      <c r="BQ268" s="634"/>
      <c r="BR268" s="634"/>
      <c r="BS268" s="634"/>
      <c r="BT268" s="634"/>
      <c r="BU268" s="634"/>
      <c r="BV268" s="635"/>
      <c r="BW268" s="635"/>
      <c r="BX268" s="635"/>
      <c r="BY268" s="635"/>
      <c r="BZ268" s="635"/>
      <c r="CA268" s="635"/>
      <c r="CB268" s="635"/>
      <c r="CC268" s="635"/>
      <c r="CD268" s="635"/>
      <c r="CE268" s="635"/>
      <c r="CF268" s="1859"/>
    </row>
    <row customHeight="1" ht="24.75" hidden="1">
      <c r="A269" s="1815"/>
      <c r="B269" s="1169"/>
      <c r="C269" s="421"/>
      <c r="D269" s="2588"/>
      <c r="E269" s="2385" t="s">
        <v>683</v>
      </c>
      <c r="F269" s="2385"/>
      <c r="G269" s="2385"/>
      <c r="H269" s="2385"/>
      <c r="I269" s="2385"/>
      <c r="J269" s="2385"/>
      <c r="K269" s="2385"/>
      <c r="L269" s="2385"/>
      <c r="M269" s="2385"/>
      <c r="N269" s="2385"/>
      <c r="O269" s="2385"/>
      <c r="P269" s="2385"/>
      <c r="Q269" s="567">
        <f>SUMIF(T270:T271,"i",Q270:Q271)</f>
        <v>0</v>
      </c>
      <c r="R269" s="1026"/>
      <c r="S269" s="1807" t="s">
        <v>684</v>
      </c>
      <c r="T269" s="726" t="s">
        <v>685</v>
      </c>
      <c r="U269" s="2383">
        <v>1</v>
      </c>
      <c r="V269" s="2383" t="s">
        <v>648</v>
      </c>
      <c r="W269" s="1169"/>
      <c r="X269" s="1169"/>
      <c r="Y269" s="1169"/>
      <c r="Z269" s="1169"/>
      <c r="AA269" s="1645"/>
      <c r="AB269" s="1169"/>
      <c r="AC269" s="2384"/>
      <c r="AD269" s="638"/>
      <c r="AE269" s="1169"/>
      <c r="AF269" s="1169"/>
      <c r="AG269" s="1645"/>
      <c r="AH269" s="1645"/>
      <c r="AI269" s="1645"/>
      <c r="AJ269" s="1645"/>
      <c r="AK269" s="1645"/>
      <c r="AL269" s="1645"/>
      <c r="AM269" s="1645"/>
      <c r="AN269" s="1645"/>
      <c r="AO269" s="1645"/>
      <c r="AP269" s="1645"/>
      <c r="AQ269" s="1645"/>
      <c r="AR269" s="1645"/>
      <c r="AS269" s="1645"/>
      <c r="AT269" s="1645"/>
      <c r="AU269" s="1645"/>
      <c r="AV269" s="1645"/>
      <c r="AW269" s="1645"/>
      <c r="AX269" s="1645"/>
      <c r="AY269" s="1645"/>
      <c r="AZ269" s="1645"/>
      <c r="BA269" s="1645"/>
      <c r="BB269" s="1645"/>
      <c r="BC269" s="1645"/>
      <c r="BD269" s="1645"/>
      <c r="BE269" s="1645"/>
      <c r="BF269" s="1645"/>
      <c r="BG269" s="1645"/>
      <c r="BH269" s="1645"/>
      <c r="BI269" s="1645"/>
      <c r="BJ269" s="1645"/>
      <c r="BK269" s="1645"/>
      <c r="BL269" s="1645"/>
      <c r="BM269" s="1645"/>
      <c r="BN269" s="1645"/>
      <c r="BO269" s="1645"/>
      <c r="BP269" s="1645"/>
      <c r="BQ269" s="1645"/>
      <c r="BR269" s="1645"/>
      <c r="BS269" s="1645"/>
      <c r="BT269" s="1645"/>
      <c r="BU269" s="1645"/>
      <c r="BV269" s="1169"/>
      <c r="BW269" s="1169"/>
      <c r="BX269" s="1169"/>
      <c r="BY269" s="1169"/>
      <c r="BZ269" s="1169"/>
      <c r="CA269" s="1169"/>
      <c r="CB269" s="1169"/>
      <c r="CC269" s="1169"/>
      <c r="CD269" s="1169"/>
      <c r="CE269" s="1169"/>
      <c r="CF269" s="1859"/>
    </row>
    <row customHeight="1" ht="11.25" hidden="1">
      <c r="A270" s="1802"/>
      <c r="B270" s="1645"/>
      <c r="C270" s="1645"/>
      <c r="D270" s="2588"/>
      <c r="E270" s="644"/>
      <c r="F270" s="644">
        <v>0</v>
      </c>
      <c r="G270" s="644"/>
      <c r="H270" s="644"/>
      <c r="I270" s="644"/>
      <c r="J270" s="644"/>
      <c r="K270" s="644"/>
      <c r="L270" s="644"/>
      <c r="M270" s="644"/>
      <c r="N270" s="644"/>
      <c r="O270" s="644"/>
      <c r="P270" s="644"/>
      <c r="Q270" s="644"/>
      <c r="R270" s="644"/>
      <c r="S270" s="645"/>
      <c r="T270" s="727"/>
      <c r="U270" s="2383"/>
      <c r="V270" s="2383"/>
      <c r="W270" s="1645"/>
      <c r="X270" s="1645"/>
      <c r="Y270" s="1645"/>
      <c r="Z270" s="1645"/>
      <c r="AA270" s="1645"/>
      <c r="AB270" s="1169"/>
      <c r="AC270" s="2384"/>
      <c r="AD270" s="638"/>
      <c r="AE270" s="1169"/>
      <c r="AF270" s="1169"/>
      <c r="AG270" s="1645"/>
      <c r="AH270" s="1645"/>
      <c r="AI270" s="1645"/>
      <c r="AJ270" s="1645"/>
      <c r="AK270" s="1645"/>
      <c r="AL270" s="1645"/>
      <c r="AM270" s="1645"/>
      <c r="AN270" s="1645"/>
      <c r="AO270" s="1645"/>
      <c r="AP270" s="1645"/>
      <c r="AQ270" s="1645"/>
      <c r="AR270" s="1645"/>
      <c r="AS270" s="1645"/>
      <c r="AT270" s="1645"/>
      <c r="AU270" s="1645"/>
      <c r="AV270" s="1645"/>
      <c r="AW270" s="1645"/>
      <c r="AX270" s="1645"/>
      <c r="AY270" s="1645"/>
      <c r="AZ270" s="1645"/>
      <c r="BA270" s="1645"/>
      <c r="BB270" s="1645"/>
      <c r="BC270" s="1645"/>
      <c r="BD270" s="1645"/>
      <c r="BE270" s="1645"/>
      <c r="BF270" s="1645"/>
      <c r="BG270" s="1645"/>
      <c r="BH270" s="1645"/>
      <c r="BI270" s="1645"/>
      <c r="BJ270" s="1645"/>
      <c r="BK270" s="1645"/>
      <c r="BL270" s="1645"/>
      <c r="BM270" s="1645"/>
      <c r="BN270" s="1645"/>
      <c r="BO270" s="1645"/>
      <c r="BP270" s="1645"/>
      <c r="BQ270" s="1645"/>
      <c r="BR270" s="1645"/>
      <c r="BS270" s="1645"/>
      <c r="BT270" s="1645"/>
      <c r="BU270" s="1645"/>
      <c r="BV270" s="1645"/>
      <c r="BW270" s="1645"/>
      <c r="BX270" s="1645"/>
      <c r="BY270" s="1645"/>
      <c r="BZ270" s="1645"/>
      <c r="CA270" s="1645"/>
      <c r="CB270" s="1645"/>
      <c r="CC270" s="1645"/>
      <c r="CD270" s="1645"/>
      <c r="CE270" s="1645"/>
      <c r="CF270" s="1859"/>
    </row>
    <row customHeight="1" ht="11.25" hidden="1">
      <c r="A271" s="1815"/>
      <c r="B271" s="1169"/>
      <c r="C271" s="421"/>
      <c r="D271" s="2588"/>
      <c r="E271" s="658" t="s">
        <v>22</v>
      </c>
      <c r="F271" s="1177" t="s">
        <v>22</v>
      </c>
      <c r="G271" s="1177" t="s">
        <v>688</v>
      </c>
      <c r="H271" s="660" t="s">
        <v>22</v>
      </c>
      <c r="I271" s="660"/>
      <c r="J271" s="660"/>
      <c r="K271" s="660"/>
      <c r="L271" s="660"/>
      <c r="M271" s="660"/>
      <c r="N271" s="660"/>
      <c r="O271" s="660"/>
      <c r="P271" s="660"/>
      <c r="Q271" s="660"/>
      <c r="R271" s="661"/>
      <c r="S271" s="662"/>
      <c r="T271" s="727"/>
      <c r="U271" s="2383"/>
      <c r="V271" s="2383"/>
      <c r="W271" s="1169"/>
      <c r="X271" s="1169"/>
      <c r="Y271" s="1169"/>
      <c r="Z271" s="1169"/>
      <c r="AA271" s="1645"/>
      <c r="AB271" s="1169"/>
      <c r="AC271" s="2384"/>
      <c r="AD271" s="638"/>
      <c r="AE271" s="1169"/>
      <c r="AF271" s="1169"/>
      <c r="AG271" s="1645"/>
      <c r="AH271" s="1645"/>
      <c r="AI271" s="1645"/>
      <c r="AJ271" s="1645"/>
      <c r="AK271" s="1645"/>
      <c r="AL271" s="1645"/>
      <c r="AM271" s="1645"/>
      <c r="AN271" s="1645"/>
      <c r="AO271" s="1645"/>
      <c r="AP271" s="1645"/>
      <c r="AQ271" s="1645"/>
      <c r="AR271" s="1645"/>
      <c r="AS271" s="1645"/>
      <c r="AT271" s="1645"/>
      <c r="AU271" s="1645"/>
      <c r="AV271" s="1645"/>
      <c r="AW271" s="1645"/>
      <c r="AX271" s="1645"/>
      <c r="AY271" s="1645"/>
      <c r="AZ271" s="1645"/>
      <c r="BA271" s="1645"/>
      <c r="BB271" s="1645"/>
      <c r="BC271" s="1645"/>
      <c r="BD271" s="1645"/>
      <c r="BE271" s="1645"/>
      <c r="BF271" s="1645"/>
      <c r="BG271" s="1645"/>
      <c r="BH271" s="1645"/>
      <c r="BI271" s="1645"/>
      <c r="BJ271" s="1645"/>
      <c r="BK271" s="1645"/>
      <c r="BL271" s="1645"/>
      <c r="BM271" s="1645"/>
      <c r="BN271" s="1645"/>
      <c r="BO271" s="1645"/>
      <c r="BP271" s="1645"/>
      <c r="BQ271" s="1645"/>
      <c r="BR271" s="1645"/>
      <c r="BS271" s="1645"/>
      <c r="BT271" s="1645"/>
      <c r="BU271" s="1645"/>
      <c r="BV271" s="1169"/>
      <c r="BW271" s="1169"/>
      <c r="BX271" s="1169"/>
      <c r="BY271" s="1169"/>
      <c r="BZ271" s="1169"/>
      <c r="CA271" s="1169"/>
      <c r="CB271" s="1169"/>
      <c r="CC271" s="1169"/>
      <c r="CD271" s="1169"/>
      <c r="CE271" s="1169"/>
      <c r="CF271" s="1859"/>
    </row>
    <row customHeight="1" ht="5.25" hidden="1">
      <c r="A272" s="1802"/>
      <c r="B272" s="1645"/>
      <c r="C272" s="1645"/>
      <c r="D272" s="2588"/>
      <c r="E272" s="1048"/>
      <c r="F272" s="1048"/>
      <c r="G272" s="1048"/>
      <c r="H272" s="1048"/>
      <c r="I272" s="1048"/>
      <c r="J272" s="1048"/>
      <c r="K272" s="1048"/>
      <c r="L272" s="1048"/>
      <c r="M272" s="1048"/>
      <c r="N272" s="1048"/>
      <c r="O272" s="1048"/>
      <c r="P272" s="1048"/>
      <c r="Q272" s="1049"/>
      <c r="R272" s="1050"/>
      <c r="S272" s="1051"/>
      <c r="T272" s="726" t="s">
        <v>685</v>
      </c>
      <c r="U272" s="2383">
        <v>1</v>
      </c>
      <c r="V272" s="2383" t="s">
        <v>648</v>
      </c>
      <c r="W272" s="1645"/>
      <c r="X272" s="1645"/>
      <c r="Y272" s="1645"/>
      <c r="Z272" s="1645"/>
      <c r="AA272" s="1645"/>
      <c r="AB272" s="1645"/>
      <c r="AC272" s="1046"/>
      <c r="AD272" s="1047"/>
      <c r="AE272" s="1645"/>
      <c r="AF272" s="1645"/>
      <c r="AG272" s="1645"/>
      <c r="AH272" s="1645"/>
      <c r="AI272" s="1645"/>
      <c r="AJ272" s="1645"/>
      <c r="AK272" s="1645"/>
      <c r="AL272" s="1645"/>
      <c r="AM272" s="1645"/>
      <c r="AN272" s="1645"/>
      <c r="AO272" s="1645"/>
      <c r="AP272" s="1645"/>
      <c r="AQ272" s="1645"/>
      <c r="AR272" s="1645"/>
      <c r="AS272" s="1645"/>
      <c r="AT272" s="1645"/>
      <c r="AU272" s="1645"/>
      <c r="AV272" s="1645"/>
      <c r="AW272" s="1645"/>
      <c r="AX272" s="1645"/>
      <c r="AY272" s="1645"/>
      <c r="AZ272" s="1645"/>
      <c r="BA272" s="1645"/>
      <c r="BB272" s="1645"/>
      <c r="BC272" s="1645"/>
      <c r="BD272" s="1645"/>
      <c r="BE272" s="1645"/>
      <c r="BF272" s="1645"/>
      <c r="BG272" s="1645"/>
      <c r="BH272" s="1645"/>
      <c r="BI272" s="1645"/>
      <c r="BJ272" s="1645"/>
      <c r="BK272" s="1645"/>
      <c r="BL272" s="1645"/>
      <c r="BM272" s="1645"/>
      <c r="BN272" s="1645"/>
      <c r="BO272" s="1645"/>
      <c r="BP272" s="1645"/>
      <c r="BQ272" s="1645"/>
      <c r="BR272" s="1645"/>
      <c r="BS272" s="1645"/>
      <c r="BT272" s="1645"/>
      <c r="BU272" s="1645"/>
      <c r="BV272" s="1645"/>
      <c r="BW272" s="1645"/>
      <c r="BX272" s="1645"/>
      <c r="BY272" s="1645"/>
      <c r="BZ272" s="1645"/>
      <c r="CA272" s="1645"/>
      <c r="CB272" s="1645"/>
      <c r="CC272" s="1645"/>
      <c r="CD272" s="1645"/>
      <c r="CE272" s="1645"/>
      <c r="CF272" s="1325"/>
    </row>
    <row customHeight="1" ht="5.25" hidden="1">
      <c r="A273" s="1802"/>
      <c r="B273" s="1645"/>
      <c r="C273" s="1645"/>
      <c r="D273" s="2588"/>
      <c r="E273" s="644"/>
      <c r="F273" s="644"/>
      <c r="G273" s="644"/>
      <c r="H273" s="644"/>
      <c r="I273" s="644"/>
      <c r="J273" s="644"/>
      <c r="K273" s="644"/>
      <c r="L273" s="644"/>
      <c r="M273" s="644"/>
      <c r="N273" s="644"/>
      <c r="O273" s="644"/>
      <c r="P273" s="644"/>
      <c r="Q273" s="644"/>
      <c r="R273" s="644"/>
      <c r="S273" s="645"/>
      <c r="T273" s="727"/>
      <c r="U273" s="2383"/>
      <c r="V273" s="2383"/>
      <c r="W273" s="1645"/>
      <c r="X273" s="1645"/>
      <c r="Y273" s="1645"/>
      <c r="Z273" s="1645"/>
      <c r="AA273" s="1645"/>
      <c r="AB273" s="1645"/>
      <c r="AC273" s="1046"/>
      <c r="AD273" s="1047"/>
      <c r="AE273" s="1645"/>
      <c r="AF273" s="1645"/>
      <c r="AG273" s="1645"/>
      <c r="AH273" s="1645"/>
      <c r="AI273" s="1645"/>
      <c r="AJ273" s="1645"/>
      <c r="AK273" s="1645"/>
      <c r="AL273" s="1645"/>
      <c r="AM273" s="1645"/>
      <c r="AN273" s="1645"/>
      <c r="AO273" s="1645"/>
      <c r="AP273" s="1645"/>
      <c r="AQ273" s="1645"/>
      <c r="AR273" s="1645"/>
      <c r="AS273" s="1645"/>
      <c r="AT273" s="1645"/>
      <c r="AU273" s="1645"/>
      <c r="AV273" s="1645"/>
      <c r="AW273" s="1645"/>
      <c r="AX273" s="1645"/>
      <c r="AY273" s="1645"/>
      <c r="AZ273" s="1645"/>
      <c r="BA273" s="1645"/>
      <c r="BB273" s="1645"/>
      <c r="BC273" s="1645"/>
      <c r="BD273" s="1645"/>
      <c r="BE273" s="1645"/>
      <c r="BF273" s="1645"/>
      <c r="BG273" s="1645"/>
      <c r="BH273" s="1645"/>
      <c r="BI273" s="1645"/>
      <c r="BJ273" s="1645"/>
      <c r="BK273" s="1645"/>
      <c r="BL273" s="1645"/>
      <c r="BM273" s="1645"/>
      <c r="BN273" s="1645"/>
      <c r="BO273" s="1645"/>
      <c r="BP273" s="1645"/>
      <c r="BQ273" s="1645"/>
      <c r="BR273" s="1645"/>
      <c r="BS273" s="1645"/>
      <c r="BT273" s="1645"/>
      <c r="BU273" s="1645"/>
      <c r="BV273" s="1645"/>
      <c r="BW273" s="1645"/>
      <c r="BX273" s="1645"/>
      <c r="BY273" s="1645"/>
      <c r="BZ273" s="1645"/>
      <c r="CA273" s="1645"/>
      <c r="CB273" s="1645"/>
      <c r="CC273" s="1645"/>
      <c r="CD273" s="1645"/>
      <c r="CE273" s="1645"/>
      <c r="CF273" s="1325"/>
    </row>
    <row customHeight="1" ht="5.25" hidden="1">
      <c r="A274" s="1802"/>
      <c r="B274" s="1645"/>
      <c r="C274" s="1645"/>
      <c r="D274" s="2589"/>
      <c r="E274" s="1052"/>
      <c r="F274" s="1053"/>
      <c r="G274" s="1053"/>
      <c r="H274" s="1054"/>
      <c r="I274" s="1054"/>
      <c r="J274" s="1054"/>
      <c r="K274" s="1054"/>
      <c r="L274" s="1054"/>
      <c r="M274" s="1054"/>
      <c r="N274" s="1054"/>
      <c r="O274" s="1054"/>
      <c r="P274" s="1054"/>
      <c r="Q274" s="1054"/>
      <c r="R274" s="955"/>
      <c r="S274" s="1055"/>
      <c r="T274" s="727"/>
      <c r="U274" s="2383"/>
      <c r="V274" s="2383"/>
      <c r="W274" s="1645"/>
      <c r="X274" s="1645"/>
      <c r="Y274" s="1645"/>
      <c r="Z274" s="1645"/>
      <c r="AA274" s="1645"/>
      <c r="AB274" s="1645"/>
      <c r="AC274" s="1046"/>
      <c r="AD274" s="1047"/>
      <c r="AE274" s="1645"/>
      <c r="AF274" s="1645"/>
      <c r="AG274" s="1645"/>
      <c r="AH274" s="1645"/>
      <c r="AI274" s="1645"/>
      <c r="AJ274" s="1645"/>
      <c r="AK274" s="1645"/>
      <c r="AL274" s="1645"/>
      <c r="AM274" s="1645"/>
      <c r="AN274" s="1645"/>
      <c r="AO274" s="1645"/>
      <c r="AP274" s="1645"/>
      <c r="AQ274" s="1645"/>
      <c r="AR274" s="1645"/>
      <c r="AS274" s="1645"/>
      <c r="AT274" s="1645"/>
      <c r="AU274" s="1645"/>
      <c r="AV274" s="1645"/>
      <c r="AW274" s="1645"/>
      <c r="AX274" s="1645"/>
      <c r="AY274" s="1645"/>
      <c r="AZ274" s="1645"/>
      <c r="BA274" s="1645"/>
      <c r="BB274" s="1645"/>
      <c r="BC274" s="1645"/>
      <c r="BD274" s="1645"/>
      <c r="BE274" s="1645"/>
      <c r="BF274" s="1645"/>
      <c r="BG274" s="1645"/>
      <c r="BH274" s="1645"/>
      <c r="BI274" s="1645"/>
      <c r="BJ274" s="1645"/>
      <c r="BK274" s="1645"/>
      <c r="BL274" s="1645"/>
      <c r="BM274" s="1645"/>
      <c r="BN274" s="1645"/>
      <c r="BO274" s="1645"/>
      <c r="BP274" s="1645"/>
      <c r="BQ274" s="1645"/>
      <c r="BR274" s="1645"/>
      <c r="BS274" s="1645"/>
      <c r="BT274" s="1645"/>
      <c r="BU274" s="1645"/>
      <c r="BV274" s="1645"/>
      <c r="BW274" s="1645"/>
      <c r="BX274" s="1645"/>
      <c r="BY274" s="1645"/>
      <c r="BZ274" s="1645"/>
      <c r="CA274" s="1645"/>
      <c r="CB274" s="1645"/>
      <c r="CC274" s="1645"/>
      <c r="CD274" s="1645"/>
      <c r="CE274" s="1645"/>
      <c r="CF274" s="1325"/>
    </row>
    <row customHeight="1" ht="15" hidden="1">
      <c r="A275" s="632" t="s">
        <v>200</v>
      </c>
      <c r="B275" s="633"/>
      <c r="C275" s="633" t="s">
        <v>22</v>
      </c>
      <c r="D275" s="2587" t="s">
        <v>716</v>
      </c>
      <c r="E275" s="2386" t="s">
        <v>105</v>
      </c>
      <c r="F275" s="2387"/>
      <c r="G275" s="2388"/>
      <c r="H275" s="2392" t="str">
        <f>IF(A275="","",INDEX(DIFFERENTIATION_UNMERGE_VD,MATCH(A275,DIFFERENTIATION_ID_DIFF,0)))</f>
        <v>Производство. Теплоноситель</v>
      </c>
      <c r="I275" s="2392"/>
      <c r="J275" s="2392"/>
      <c r="K275" s="2392"/>
      <c r="L275" s="2392"/>
      <c r="M275" s="2392"/>
      <c r="N275" s="2392"/>
      <c r="O275" s="2392"/>
      <c r="P275" s="2392"/>
      <c r="Q275" s="2392"/>
      <c r="R275" s="2392"/>
      <c r="S275" s="728"/>
      <c r="T275" s="725"/>
      <c r="U275" s="634"/>
      <c r="V275" s="634"/>
      <c r="W275" s="635"/>
      <c r="X275" s="635"/>
      <c r="Y275" s="635"/>
      <c r="Z275" s="635"/>
      <c r="AA275" s="636"/>
      <c r="AB275" s="637"/>
      <c r="AC275" s="2384"/>
      <c r="AD275" s="638"/>
      <c r="AE275" s="639" t="s">
        <v>22</v>
      </c>
      <c r="AF275" s="639"/>
      <c r="AG275" s="640" t="s">
        <v>682</v>
      </c>
      <c r="AH275" s="641">
        <v>3</v>
      </c>
      <c r="AI275" s="634"/>
      <c r="AJ275" s="634"/>
      <c r="AK275" s="634"/>
      <c r="AL275" s="634"/>
      <c r="AM275" s="634"/>
      <c r="AN275" s="634"/>
      <c r="AO275" s="634"/>
      <c r="AP275" s="634"/>
      <c r="AQ275" s="634"/>
      <c r="AR275" s="634"/>
      <c r="AS275" s="634"/>
      <c r="AT275" s="634"/>
      <c r="AU275" s="634"/>
      <c r="AV275" s="634"/>
      <c r="AW275" s="634"/>
      <c r="AX275" s="634"/>
      <c r="AY275" s="634"/>
      <c r="AZ275" s="634"/>
      <c r="BA275" s="634"/>
      <c r="BB275" s="634"/>
      <c r="BC275" s="634"/>
      <c r="BD275" s="634"/>
      <c r="BE275" s="634"/>
      <c r="BF275" s="634"/>
      <c r="BG275" s="634"/>
      <c r="BH275" s="634"/>
      <c r="BI275" s="634"/>
      <c r="BJ275" s="634"/>
      <c r="BK275" s="634"/>
      <c r="BL275" s="634"/>
      <c r="BM275" s="634"/>
      <c r="BN275" s="634"/>
      <c r="BO275" s="634"/>
      <c r="BP275" s="634"/>
      <c r="BQ275" s="634"/>
      <c r="BR275" s="634"/>
      <c r="BS275" s="634"/>
      <c r="BT275" s="634"/>
      <c r="BU275" s="634"/>
      <c r="BV275" s="635"/>
      <c r="BW275" s="635"/>
      <c r="BX275" s="635"/>
      <c r="BY275" s="635"/>
      <c r="BZ275" s="635"/>
      <c r="CA275" s="635"/>
      <c r="CB275" s="635"/>
      <c r="CC275" s="635"/>
      <c r="CD275" s="635"/>
      <c r="CE275" s="635"/>
      <c r="CF275" s="1859"/>
    </row>
    <row customHeight="1" ht="15" hidden="1">
      <c r="A276" s="632"/>
      <c r="B276" s="633"/>
      <c r="C276" s="633"/>
      <c r="D276" s="2588"/>
      <c r="E276" s="2386" t="s">
        <v>637</v>
      </c>
      <c r="F276" s="2387"/>
      <c r="G276" s="2388"/>
      <c r="H276" s="2392" t="str">
        <f>IF(A275="","",INDEX(DIFFERENTIATION_UNMERGE_AREA,MATCH(A275,DIFFERENTIATION_ID_DIFF,0)))</f>
        <v>Территория 1</v>
      </c>
      <c r="I276" s="2392"/>
      <c r="J276" s="2392"/>
      <c r="K276" s="2392"/>
      <c r="L276" s="2392"/>
      <c r="M276" s="2392"/>
      <c r="N276" s="2392"/>
      <c r="O276" s="2392"/>
      <c r="P276" s="2392"/>
      <c r="Q276" s="2392"/>
      <c r="R276" s="2392"/>
      <c r="S276" s="728"/>
      <c r="T276" s="725"/>
      <c r="U276" s="634"/>
      <c r="V276" s="634"/>
      <c r="W276" s="635"/>
      <c r="X276" s="635"/>
      <c r="Y276" s="635"/>
      <c r="Z276" s="635"/>
      <c r="AA276" s="636"/>
      <c r="AB276" s="637"/>
      <c r="AC276" s="2384"/>
      <c r="AD276" s="638"/>
      <c r="AE276" s="639"/>
      <c r="AF276" s="639"/>
      <c r="AG276" s="640"/>
      <c r="AH276" s="641"/>
      <c r="AI276" s="634"/>
      <c r="AJ276" s="634"/>
      <c r="AK276" s="634"/>
      <c r="AL276" s="634"/>
      <c r="AM276" s="634"/>
      <c r="AN276" s="634"/>
      <c r="AO276" s="634"/>
      <c r="AP276" s="634"/>
      <c r="AQ276" s="634"/>
      <c r="AR276" s="634"/>
      <c r="AS276" s="634"/>
      <c r="AT276" s="634"/>
      <c r="AU276" s="634"/>
      <c r="AV276" s="634"/>
      <c r="AW276" s="634"/>
      <c r="AX276" s="634"/>
      <c r="AY276" s="634"/>
      <c r="AZ276" s="634"/>
      <c r="BA276" s="634"/>
      <c r="BB276" s="634"/>
      <c r="BC276" s="634"/>
      <c r="BD276" s="634"/>
      <c r="BE276" s="634"/>
      <c r="BF276" s="634"/>
      <c r="BG276" s="634"/>
      <c r="BH276" s="634"/>
      <c r="BI276" s="634"/>
      <c r="BJ276" s="634"/>
      <c r="BK276" s="634"/>
      <c r="BL276" s="634"/>
      <c r="BM276" s="634"/>
      <c r="BN276" s="634"/>
      <c r="BO276" s="634"/>
      <c r="BP276" s="634"/>
      <c r="BQ276" s="634"/>
      <c r="BR276" s="634"/>
      <c r="BS276" s="634"/>
      <c r="BT276" s="634"/>
      <c r="BU276" s="634"/>
      <c r="BV276" s="635"/>
      <c r="BW276" s="635"/>
      <c r="BX276" s="635"/>
      <c r="BY276" s="635"/>
      <c r="BZ276" s="635"/>
      <c r="CA276" s="635"/>
      <c r="CB276" s="635"/>
      <c r="CC276" s="635"/>
      <c r="CD276" s="635"/>
      <c r="CE276" s="635"/>
      <c r="CF276" s="1859"/>
    </row>
    <row customHeight="1" ht="15" hidden="1">
      <c r="A277" s="632"/>
      <c r="B277" s="633"/>
      <c r="C277" s="633"/>
      <c r="D277" s="2588"/>
      <c r="E277" s="2386" t="s">
        <v>638</v>
      </c>
      <c r="F277" s="2387"/>
      <c r="G277" s="2388"/>
      <c r="H277" s="2392" t="str">
        <f>IF(A275="","",INDEX(DIFFERENTIATION_UNMERGE_SYSTEM,MATCH(A275,DIFFERENTIATION_ID_DIFF,0)))</f>
        <v>Котельная №14, ул.Радиозаводская</v>
      </c>
      <c r="I277" s="2392"/>
      <c r="J277" s="2392"/>
      <c r="K277" s="2392"/>
      <c r="L277" s="2392"/>
      <c r="M277" s="2392"/>
      <c r="N277" s="2392"/>
      <c r="O277" s="2392"/>
      <c r="P277" s="2392"/>
      <c r="Q277" s="2392"/>
      <c r="R277" s="2392"/>
      <c r="S277" s="728"/>
      <c r="T277" s="725"/>
      <c r="U277" s="634"/>
      <c r="V277" s="634"/>
      <c r="W277" s="635"/>
      <c r="X277" s="635"/>
      <c r="Y277" s="635"/>
      <c r="Z277" s="635"/>
      <c r="AA277" s="636"/>
      <c r="AB277" s="637"/>
      <c r="AC277" s="2384"/>
      <c r="AD277" s="638"/>
      <c r="AE277" s="639"/>
      <c r="AF277" s="639"/>
      <c r="AG277" s="640"/>
      <c r="AH277" s="641"/>
      <c r="AI277" s="634"/>
      <c r="AJ277" s="634"/>
      <c r="AK277" s="634"/>
      <c r="AL277" s="634"/>
      <c r="AM277" s="634"/>
      <c r="AN277" s="634"/>
      <c r="AO277" s="634"/>
      <c r="AP277" s="634"/>
      <c r="AQ277" s="634"/>
      <c r="AR277" s="634"/>
      <c r="AS277" s="634"/>
      <c r="AT277" s="634"/>
      <c r="AU277" s="634"/>
      <c r="AV277" s="634"/>
      <c r="AW277" s="634"/>
      <c r="AX277" s="634"/>
      <c r="AY277" s="634"/>
      <c r="AZ277" s="634"/>
      <c r="BA277" s="634"/>
      <c r="BB277" s="634"/>
      <c r="BC277" s="634"/>
      <c r="BD277" s="634"/>
      <c r="BE277" s="634"/>
      <c r="BF277" s="634"/>
      <c r="BG277" s="634"/>
      <c r="BH277" s="634"/>
      <c r="BI277" s="634"/>
      <c r="BJ277" s="634"/>
      <c r="BK277" s="634"/>
      <c r="BL277" s="634"/>
      <c r="BM277" s="634"/>
      <c r="BN277" s="634"/>
      <c r="BO277" s="634"/>
      <c r="BP277" s="634"/>
      <c r="BQ277" s="634"/>
      <c r="BR277" s="634"/>
      <c r="BS277" s="634"/>
      <c r="BT277" s="634"/>
      <c r="BU277" s="634"/>
      <c r="BV277" s="635"/>
      <c r="BW277" s="635"/>
      <c r="BX277" s="635"/>
      <c r="BY277" s="635"/>
      <c r="BZ277" s="635"/>
      <c r="CA277" s="635"/>
      <c r="CB277" s="635"/>
      <c r="CC277" s="635"/>
      <c r="CD277" s="635"/>
      <c r="CE277" s="635"/>
      <c r="CF277" s="1859"/>
    </row>
    <row customHeight="1" ht="24.75" hidden="1">
      <c r="A278" s="1815"/>
      <c r="B278" s="1169"/>
      <c r="C278" s="421"/>
      <c r="D278" s="2588"/>
      <c r="E278" s="2385" t="s">
        <v>683</v>
      </c>
      <c r="F278" s="2385"/>
      <c r="G278" s="2385"/>
      <c r="H278" s="2385"/>
      <c r="I278" s="2385"/>
      <c r="J278" s="2385"/>
      <c r="K278" s="2385"/>
      <c r="L278" s="2385"/>
      <c r="M278" s="2385"/>
      <c r="N278" s="2385"/>
      <c r="O278" s="2385"/>
      <c r="P278" s="2385"/>
      <c r="Q278" s="567">
        <f>SUMIF(T279:T280,"i",Q279:Q280)</f>
        <v>0</v>
      </c>
      <c r="R278" s="1026"/>
      <c r="S278" s="1807" t="s">
        <v>684</v>
      </c>
      <c r="T278" s="726" t="s">
        <v>685</v>
      </c>
      <c r="U278" s="2383">
        <v>1</v>
      </c>
      <c r="V278" s="2383" t="s">
        <v>648</v>
      </c>
      <c r="W278" s="1169"/>
      <c r="X278" s="1169"/>
      <c r="Y278" s="1169"/>
      <c r="Z278" s="1169"/>
      <c r="AA278" s="1645"/>
      <c r="AB278" s="1169"/>
      <c r="AC278" s="2384"/>
      <c r="AD278" s="638"/>
      <c r="AE278" s="1169"/>
      <c r="AF278" s="1169"/>
      <c r="AG278" s="1645"/>
      <c r="AH278" s="1645"/>
      <c r="AI278" s="1645"/>
      <c r="AJ278" s="1645"/>
      <c r="AK278" s="1645"/>
      <c r="AL278" s="1645"/>
      <c r="AM278" s="1645"/>
      <c r="AN278" s="1645"/>
      <c r="AO278" s="1645"/>
      <c r="AP278" s="1645"/>
      <c r="AQ278" s="1645"/>
      <c r="AR278" s="1645"/>
      <c r="AS278" s="1645"/>
      <c r="AT278" s="1645"/>
      <c r="AU278" s="1645"/>
      <c r="AV278" s="1645"/>
      <c r="AW278" s="1645"/>
      <c r="AX278" s="1645"/>
      <c r="AY278" s="1645"/>
      <c r="AZ278" s="1645"/>
      <c r="BA278" s="1645"/>
      <c r="BB278" s="1645"/>
      <c r="BC278" s="1645"/>
      <c r="BD278" s="1645"/>
      <c r="BE278" s="1645"/>
      <c r="BF278" s="1645"/>
      <c r="BG278" s="1645"/>
      <c r="BH278" s="1645"/>
      <c r="BI278" s="1645"/>
      <c r="BJ278" s="1645"/>
      <c r="BK278" s="1645"/>
      <c r="BL278" s="1645"/>
      <c r="BM278" s="1645"/>
      <c r="BN278" s="1645"/>
      <c r="BO278" s="1645"/>
      <c r="BP278" s="1645"/>
      <c r="BQ278" s="1645"/>
      <c r="BR278" s="1645"/>
      <c r="BS278" s="1645"/>
      <c r="BT278" s="1645"/>
      <c r="BU278" s="1645"/>
      <c r="BV278" s="1169"/>
      <c r="BW278" s="1169"/>
      <c r="BX278" s="1169"/>
      <c r="BY278" s="1169"/>
      <c r="BZ278" s="1169"/>
      <c r="CA278" s="1169"/>
      <c r="CB278" s="1169"/>
      <c r="CC278" s="1169"/>
      <c r="CD278" s="1169"/>
      <c r="CE278" s="1169"/>
      <c r="CF278" s="1859"/>
    </row>
    <row customHeight="1" ht="11.25" hidden="1">
      <c r="A279" s="1802"/>
      <c r="B279" s="1645"/>
      <c r="C279" s="1645"/>
      <c r="D279" s="2588"/>
      <c r="E279" s="644"/>
      <c r="F279" s="644">
        <v>0</v>
      </c>
      <c r="G279" s="644"/>
      <c r="H279" s="644"/>
      <c r="I279" s="644"/>
      <c r="J279" s="644"/>
      <c r="K279" s="644"/>
      <c r="L279" s="644"/>
      <c r="M279" s="644"/>
      <c r="N279" s="644"/>
      <c r="O279" s="644"/>
      <c r="P279" s="644"/>
      <c r="Q279" s="644"/>
      <c r="R279" s="644"/>
      <c r="S279" s="645"/>
      <c r="T279" s="727"/>
      <c r="U279" s="2383"/>
      <c r="V279" s="2383"/>
      <c r="W279" s="1645"/>
      <c r="X279" s="1645"/>
      <c r="Y279" s="1645"/>
      <c r="Z279" s="1645"/>
      <c r="AA279" s="1645"/>
      <c r="AB279" s="1169"/>
      <c r="AC279" s="2384"/>
      <c r="AD279" s="638"/>
      <c r="AE279" s="1169"/>
      <c r="AF279" s="1169"/>
      <c r="AG279" s="1645"/>
      <c r="AH279" s="1645"/>
      <c r="AI279" s="1645"/>
      <c r="AJ279" s="1645"/>
      <c r="AK279" s="1645"/>
      <c r="AL279" s="1645"/>
      <c r="AM279" s="1645"/>
      <c r="AN279" s="1645"/>
      <c r="AO279" s="1645"/>
      <c r="AP279" s="1645"/>
      <c r="AQ279" s="1645"/>
      <c r="AR279" s="1645"/>
      <c r="AS279" s="1645"/>
      <c r="AT279" s="1645"/>
      <c r="AU279" s="1645"/>
      <c r="AV279" s="1645"/>
      <c r="AW279" s="1645"/>
      <c r="AX279" s="1645"/>
      <c r="AY279" s="1645"/>
      <c r="AZ279" s="1645"/>
      <c r="BA279" s="1645"/>
      <c r="BB279" s="1645"/>
      <c r="BC279" s="1645"/>
      <c r="BD279" s="1645"/>
      <c r="BE279" s="1645"/>
      <c r="BF279" s="1645"/>
      <c r="BG279" s="1645"/>
      <c r="BH279" s="1645"/>
      <c r="BI279" s="1645"/>
      <c r="BJ279" s="1645"/>
      <c r="BK279" s="1645"/>
      <c r="BL279" s="1645"/>
      <c r="BM279" s="1645"/>
      <c r="BN279" s="1645"/>
      <c r="BO279" s="1645"/>
      <c r="BP279" s="1645"/>
      <c r="BQ279" s="1645"/>
      <c r="BR279" s="1645"/>
      <c r="BS279" s="1645"/>
      <c r="BT279" s="1645"/>
      <c r="BU279" s="1645"/>
      <c r="BV279" s="1645"/>
      <c r="BW279" s="1645"/>
      <c r="BX279" s="1645"/>
      <c r="BY279" s="1645"/>
      <c r="BZ279" s="1645"/>
      <c r="CA279" s="1645"/>
      <c r="CB279" s="1645"/>
      <c r="CC279" s="1645"/>
      <c r="CD279" s="1645"/>
      <c r="CE279" s="1645"/>
      <c r="CF279" s="1859"/>
    </row>
    <row customHeight="1" ht="11.25" hidden="1">
      <c r="A280" s="1815"/>
      <c r="B280" s="1169"/>
      <c r="C280" s="421"/>
      <c r="D280" s="2588"/>
      <c r="E280" s="658" t="s">
        <v>22</v>
      </c>
      <c r="F280" s="1177" t="s">
        <v>22</v>
      </c>
      <c r="G280" s="1177" t="s">
        <v>688</v>
      </c>
      <c r="H280" s="660" t="s">
        <v>22</v>
      </c>
      <c r="I280" s="660"/>
      <c r="J280" s="660"/>
      <c r="K280" s="660"/>
      <c r="L280" s="660"/>
      <c r="M280" s="660"/>
      <c r="N280" s="660"/>
      <c r="O280" s="660"/>
      <c r="P280" s="660"/>
      <c r="Q280" s="660"/>
      <c r="R280" s="661"/>
      <c r="S280" s="662"/>
      <c r="T280" s="727"/>
      <c r="U280" s="2383"/>
      <c r="V280" s="2383"/>
      <c r="W280" s="1169"/>
      <c r="X280" s="1169"/>
      <c r="Y280" s="1169"/>
      <c r="Z280" s="1169"/>
      <c r="AA280" s="1645"/>
      <c r="AB280" s="1169"/>
      <c r="AC280" s="2384"/>
      <c r="AD280" s="638"/>
      <c r="AE280" s="1169"/>
      <c r="AF280" s="1169"/>
      <c r="AG280" s="1645"/>
      <c r="AH280" s="1645"/>
      <c r="AI280" s="1645"/>
      <c r="AJ280" s="1645"/>
      <c r="AK280" s="1645"/>
      <c r="AL280" s="1645"/>
      <c r="AM280" s="1645"/>
      <c r="AN280" s="1645"/>
      <c r="AO280" s="1645"/>
      <c r="AP280" s="1645"/>
      <c r="AQ280" s="1645"/>
      <c r="AR280" s="1645"/>
      <c r="AS280" s="1645"/>
      <c r="AT280" s="1645"/>
      <c r="AU280" s="1645"/>
      <c r="AV280" s="1645"/>
      <c r="AW280" s="1645"/>
      <c r="AX280" s="1645"/>
      <c r="AY280" s="1645"/>
      <c r="AZ280" s="1645"/>
      <c r="BA280" s="1645"/>
      <c r="BB280" s="1645"/>
      <c r="BC280" s="1645"/>
      <c r="BD280" s="1645"/>
      <c r="BE280" s="1645"/>
      <c r="BF280" s="1645"/>
      <c r="BG280" s="1645"/>
      <c r="BH280" s="1645"/>
      <c r="BI280" s="1645"/>
      <c r="BJ280" s="1645"/>
      <c r="BK280" s="1645"/>
      <c r="BL280" s="1645"/>
      <c r="BM280" s="1645"/>
      <c r="BN280" s="1645"/>
      <c r="BO280" s="1645"/>
      <c r="BP280" s="1645"/>
      <c r="BQ280" s="1645"/>
      <c r="BR280" s="1645"/>
      <c r="BS280" s="1645"/>
      <c r="BT280" s="1645"/>
      <c r="BU280" s="1645"/>
      <c r="BV280" s="1169"/>
      <c r="BW280" s="1169"/>
      <c r="BX280" s="1169"/>
      <c r="BY280" s="1169"/>
      <c r="BZ280" s="1169"/>
      <c r="CA280" s="1169"/>
      <c r="CB280" s="1169"/>
      <c r="CC280" s="1169"/>
      <c r="CD280" s="1169"/>
      <c r="CE280" s="1169"/>
      <c r="CF280" s="1859"/>
    </row>
    <row customHeight="1" ht="5.25" hidden="1">
      <c r="A281" s="1802"/>
      <c r="B281" s="1645"/>
      <c r="C281" s="1645"/>
      <c r="D281" s="2588"/>
      <c r="E281" s="1048"/>
      <c r="F281" s="1048"/>
      <c r="G281" s="1048"/>
      <c r="H281" s="1048"/>
      <c r="I281" s="1048"/>
      <c r="J281" s="1048"/>
      <c r="K281" s="1048"/>
      <c r="L281" s="1048"/>
      <c r="M281" s="1048"/>
      <c r="N281" s="1048"/>
      <c r="O281" s="1048"/>
      <c r="P281" s="1048"/>
      <c r="Q281" s="1049"/>
      <c r="R281" s="1050"/>
      <c r="S281" s="1051"/>
      <c r="T281" s="726" t="s">
        <v>685</v>
      </c>
      <c r="U281" s="2383">
        <v>1</v>
      </c>
      <c r="V281" s="2383" t="s">
        <v>648</v>
      </c>
      <c r="W281" s="1645"/>
      <c r="X281" s="1645"/>
      <c r="Y281" s="1645"/>
      <c r="Z281" s="1645"/>
      <c r="AA281" s="1645"/>
      <c r="AB281" s="1645"/>
      <c r="AC281" s="1046"/>
      <c r="AD281" s="1047"/>
      <c r="AE281" s="1645"/>
      <c r="AF281" s="1645"/>
      <c r="AG281" s="1645"/>
      <c r="AH281" s="1645"/>
      <c r="AI281" s="1645"/>
      <c r="AJ281" s="1645"/>
      <c r="AK281" s="1645"/>
      <c r="AL281" s="1645"/>
      <c r="AM281" s="1645"/>
      <c r="AN281" s="1645"/>
      <c r="AO281" s="1645"/>
      <c r="AP281" s="1645"/>
      <c r="AQ281" s="1645"/>
      <c r="AR281" s="1645"/>
      <c r="AS281" s="1645"/>
      <c r="AT281" s="1645"/>
      <c r="AU281" s="1645"/>
      <c r="AV281" s="1645"/>
      <c r="AW281" s="1645"/>
      <c r="AX281" s="1645"/>
      <c r="AY281" s="1645"/>
      <c r="AZ281" s="1645"/>
      <c r="BA281" s="1645"/>
      <c r="BB281" s="1645"/>
      <c r="BC281" s="1645"/>
      <c r="BD281" s="1645"/>
      <c r="BE281" s="1645"/>
      <c r="BF281" s="1645"/>
      <c r="BG281" s="1645"/>
      <c r="BH281" s="1645"/>
      <c r="BI281" s="1645"/>
      <c r="BJ281" s="1645"/>
      <c r="BK281" s="1645"/>
      <c r="BL281" s="1645"/>
      <c r="BM281" s="1645"/>
      <c r="BN281" s="1645"/>
      <c r="BO281" s="1645"/>
      <c r="BP281" s="1645"/>
      <c r="BQ281" s="1645"/>
      <c r="BR281" s="1645"/>
      <c r="BS281" s="1645"/>
      <c r="BT281" s="1645"/>
      <c r="BU281" s="1645"/>
      <c r="BV281" s="1645"/>
      <c r="BW281" s="1645"/>
      <c r="BX281" s="1645"/>
      <c r="BY281" s="1645"/>
      <c r="BZ281" s="1645"/>
      <c r="CA281" s="1645"/>
      <c r="CB281" s="1645"/>
      <c r="CC281" s="1645"/>
      <c r="CD281" s="1645"/>
      <c r="CE281" s="1645"/>
      <c r="CF281" s="1325"/>
    </row>
    <row customHeight="1" ht="5.25" hidden="1">
      <c r="A282" s="1802"/>
      <c r="B282" s="1645"/>
      <c r="C282" s="1645"/>
      <c r="D282" s="2588"/>
      <c r="E282" s="644"/>
      <c r="F282" s="644"/>
      <c r="G282" s="644"/>
      <c r="H282" s="644"/>
      <c r="I282" s="644"/>
      <c r="J282" s="644"/>
      <c r="K282" s="644"/>
      <c r="L282" s="644"/>
      <c r="M282" s="644"/>
      <c r="N282" s="644"/>
      <c r="O282" s="644"/>
      <c r="P282" s="644"/>
      <c r="Q282" s="644"/>
      <c r="R282" s="644"/>
      <c r="S282" s="645"/>
      <c r="T282" s="727"/>
      <c r="U282" s="2383"/>
      <c r="V282" s="2383"/>
      <c r="W282" s="1645"/>
      <c r="X282" s="1645"/>
      <c r="Y282" s="1645"/>
      <c r="Z282" s="1645"/>
      <c r="AA282" s="1645"/>
      <c r="AB282" s="1645"/>
      <c r="AC282" s="1046"/>
      <c r="AD282" s="1047"/>
      <c r="AE282" s="1645"/>
      <c r="AF282" s="1645"/>
      <c r="AG282" s="1645"/>
      <c r="AH282" s="1645"/>
      <c r="AI282" s="1645"/>
      <c r="AJ282" s="1645"/>
      <c r="AK282" s="1645"/>
      <c r="AL282" s="1645"/>
      <c r="AM282" s="1645"/>
      <c r="AN282" s="1645"/>
      <c r="AO282" s="1645"/>
      <c r="AP282" s="1645"/>
      <c r="AQ282" s="1645"/>
      <c r="AR282" s="1645"/>
      <c r="AS282" s="1645"/>
      <c r="AT282" s="1645"/>
      <c r="AU282" s="1645"/>
      <c r="AV282" s="1645"/>
      <c r="AW282" s="1645"/>
      <c r="AX282" s="1645"/>
      <c r="AY282" s="1645"/>
      <c r="AZ282" s="1645"/>
      <c r="BA282" s="1645"/>
      <c r="BB282" s="1645"/>
      <c r="BC282" s="1645"/>
      <c r="BD282" s="1645"/>
      <c r="BE282" s="1645"/>
      <c r="BF282" s="1645"/>
      <c r="BG282" s="1645"/>
      <c r="BH282" s="1645"/>
      <c r="BI282" s="1645"/>
      <c r="BJ282" s="1645"/>
      <c r="BK282" s="1645"/>
      <c r="BL282" s="1645"/>
      <c r="BM282" s="1645"/>
      <c r="BN282" s="1645"/>
      <c r="BO282" s="1645"/>
      <c r="BP282" s="1645"/>
      <c r="BQ282" s="1645"/>
      <c r="BR282" s="1645"/>
      <c r="BS282" s="1645"/>
      <c r="BT282" s="1645"/>
      <c r="BU282" s="1645"/>
      <c r="BV282" s="1645"/>
      <c r="BW282" s="1645"/>
      <c r="BX282" s="1645"/>
      <c r="BY282" s="1645"/>
      <c r="BZ282" s="1645"/>
      <c r="CA282" s="1645"/>
      <c r="CB282" s="1645"/>
      <c r="CC282" s="1645"/>
      <c r="CD282" s="1645"/>
      <c r="CE282" s="1645"/>
      <c r="CF282" s="1325"/>
    </row>
    <row customHeight="1" ht="5.25" hidden="1">
      <c r="A283" s="1802"/>
      <c r="B283" s="1645"/>
      <c r="C283" s="1645"/>
      <c r="D283" s="2589"/>
      <c r="E283" s="1052"/>
      <c r="F283" s="1053"/>
      <c r="G283" s="1053"/>
      <c r="H283" s="1054"/>
      <c r="I283" s="1054"/>
      <c r="J283" s="1054"/>
      <c r="K283" s="1054"/>
      <c r="L283" s="1054"/>
      <c r="M283" s="1054"/>
      <c r="N283" s="1054"/>
      <c r="O283" s="1054"/>
      <c r="P283" s="1054"/>
      <c r="Q283" s="1054"/>
      <c r="R283" s="955"/>
      <c r="S283" s="1055"/>
      <c r="T283" s="727"/>
      <c r="U283" s="2383"/>
      <c r="V283" s="2383"/>
      <c r="W283" s="1645"/>
      <c r="X283" s="1645"/>
      <c r="Y283" s="1645"/>
      <c r="Z283" s="1645"/>
      <c r="AA283" s="1645"/>
      <c r="AB283" s="1645"/>
      <c r="AC283" s="1046"/>
      <c r="AD283" s="1047"/>
      <c r="AE283" s="1645"/>
      <c r="AF283" s="1645"/>
      <c r="AG283" s="1645"/>
      <c r="AH283" s="1645"/>
      <c r="AI283" s="1645"/>
      <c r="AJ283" s="1645"/>
      <c r="AK283" s="1645"/>
      <c r="AL283" s="1645"/>
      <c r="AM283" s="1645"/>
      <c r="AN283" s="1645"/>
      <c r="AO283" s="1645"/>
      <c r="AP283" s="1645"/>
      <c r="AQ283" s="1645"/>
      <c r="AR283" s="1645"/>
      <c r="AS283" s="1645"/>
      <c r="AT283" s="1645"/>
      <c r="AU283" s="1645"/>
      <c r="AV283" s="1645"/>
      <c r="AW283" s="1645"/>
      <c r="AX283" s="1645"/>
      <c r="AY283" s="1645"/>
      <c r="AZ283" s="1645"/>
      <c r="BA283" s="1645"/>
      <c r="BB283" s="1645"/>
      <c r="BC283" s="1645"/>
      <c r="BD283" s="1645"/>
      <c r="BE283" s="1645"/>
      <c r="BF283" s="1645"/>
      <c r="BG283" s="1645"/>
      <c r="BH283" s="1645"/>
      <c r="BI283" s="1645"/>
      <c r="BJ283" s="1645"/>
      <c r="BK283" s="1645"/>
      <c r="BL283" s="1645"/>
      <c r="BM283" s="1645"/>
      <c r="BN283" s="1645"/>
      <c r="BO283" s="1645"/>
      <c r="BP283" s="1645"/>
      <c r="BQ283" s="1645"/>
      <c r="BR283" s="1645"/>
      <c r="BS283" s="1645"/>
      <c r="BT283" s="1645"/>
      <c r="BU283" s="1645"/>
      <c r="BV283" s="1645"/>
      <c r="BW283" s="1645"/>
      <c r="BX283" s="1645"/>
      <c r="BY283" s="1645"/>
      <c r="BZ283" s="1645"/>
      <c r="CA283" s="1645"/>
      <c r="CB283" s="1645"/>
      <c r="CC283" s="1645"/>
      <c r="CD283" s="1645"/>
      <c r="CE283" s="1645"/>
      <c r="CF283" s="1325"/>
    </row>
    <row customHeight="1" ht="15" hidden="1">
      <c r="A284" s="632" t="s">
        <v>201</v>
      </c>
      <c r="B284" s="633"/>
      <c r="C284" s="633" t="s">
        <v>22</v>
      </c>
      <c r="D284" s="2587" t="s">
        <v>717</v>
      </c>
      <c r="E284" s="2386" t="s">
        <v>105</v>
      </c>
      <c r="F284" s="2387"/>
      <c r="G284" s="2388"/>
      <c r="H284" s="2392" t="str">
        <f>IF(A284="","",INDEX(DIFFERENTIATION_UNMERGE_VD,MATCH(A284,DIFFERENTIATION_ID_DIFF,0)))</f>
        <v>Производство. Теплоноситель</v>
      </c>
      <c r="I284" s="2392"/>
      <c r="J284" s="2392"/>
      <c r="K284" s="2392"/>
      <c r="L284" s="2392"/>
      <c r="M284" s="2392"/>
      <c r="N284" s="2392"/>
      <c r="O284" s="2392"/>
      <c r="P284" s="2392"/>
      <c r="Q284" s="2392"/>
      <c r="R284" s="2392"/>
      <c r="S284" s="728"/>
      <c r="T284" s="725"/>
      <c r="U284" s="634"/>
      <c r="V284" s="634"/>
      <c r="W284" s="635"/>
      <c r="X284" s="635"/>
      <c r="Y284" s="635"/>
      <c r="Z284" s="635"/>
      <c r="AA284" s="636"/>
      <c r="AB284" s="637"/>
      <c r="AC284" s="2384"/>
      <c r="AD284" s="638"/>
      <c r="AE284" s="639" t="s">
        <v>22</v>
      </c>
      <c r="AF284" s="639"/>
      <c r="AG284" s="640" t="s">
        <v>682</v>
      </c>
      <c r="AH284" s="641">
        <v>3</v>
      </c>
      <c r="AI284" s="634"/>
      <c r="AJ284" s="634"/>
      <c r="AK284" s="634"/>
      <c r="AL284" s="634"/>
      <c r="AM284" s="634"/>
      <c r="AN284" s="634"/>
      <c r="AO284" s="634"/>
      <c r="AP284" s="634"/>
      <c r="AQ284" s="634"/>
      <c r="AR284" s="634"/>
      <c r="AS284" s="634"/>
      <c r="AT284" s="634"/>
      <c r="AU284" s="634"/>
      <c r="AV284" s="634"/>
      <c r="AW284" s="634"/>
      <c r="AX284" s="634"/>
      <c r="AY284" s="634"/>
      <c r="AZ284" s="634"/>
      <c r="BA284" s="634"/>
      <c r="BB284" s="634"/>
      <c r="BC284" s="634"/>
      <c r="BD284" s="634"/>
      <c r="BE284" s="634"/>
      <c r="BF284" s="634"/>
      <c r="BG284" s="634"/>
      <c r="BH284" s="634"/>
      <c r="BI284" s="634"/>
      <c r="BJ284" s="634"/>
      <c r="BK284" s="634"/>
      <c r="BL284" s="634"/>
      <c r="BM284" s="634"/>
      <c r="BN284" s="634"/>
      <c r="BO284" s="634"/>
      <c r="BP284" s="634"/>
      <c r="BQ284" s="634"/>
      <c r="BR284" s="634"/>
      <c r="BS284" s="634"/>
      <c r="BT284" s="634"/>
      <c r="BU284" s="634"/>
      <c r="BV284" s="635"/>
      <c r="BW284" s="635"/>
      <c r="BX284" s="635"/>
      <c r="BY284" s="635"/>
      <c r="BZ284" s="635"/>
      <c r="CA284" s="635"/>
      <c r="CB284" s="635"/>
      <c r="CC284" s="635"/>
      <c r="CD284" s="635"/>
      <c r="CE284" s="635"/>
      <c r="CF284" s="1859"/>
    </row>
    <row customHeight="1" ht="15" hidden="1">
      <c r="A285" s="632"/>
      <c r="B285" s="633"/>
      <c r="C285" s="633"/>
      <c r="D285" s="2588"/>
      <c r="E285" s="2386" t="s">
        <v>637</v>
      </c>
      <c r="F285" s="2387"/>
      <c r="G285" s="2388"/>
      <c r="H285" s="2392" t="str">
        <f>IF(A284="","",INDEX(DIFFERENTIATION_UNMERGE_AREA,MATCH(A284,DIFFERENTIATION_ID_DIFF,0)))</f>
        <v>Территория 1</v>
      </c>
      <c r="I285" s="2392"/>
      <c r="J285" s="2392"/>
      <c r="K285" s="2392"/>
      <c r="L285" s="2392"/>
      <c r="M285" s="2392"/>
      <c r="N285" s="2392"/>
      <c r="O285" s="2392"/>
      <c r="P285" s="2392"/>
      <c r="Q285" s="2392"/>
      <c r="R285" s="2392"/>
      <c r="S285" s="728"/>
      <c r="T285" s="725"/>
      <c r="U285" s="634"/>
      <c r="V285" s="634"/>
      <c r="W285" s="635"/>
      <c r="X285" s="635"/>
      <c r="Y285" s="635"/>
      <c r="Z285" s="635"/>
      <c r="AA285" s="636"/>
      <c r="AB285" s="637"/>
      <c r="AC285" s="2384"/>
      <c r="AD285" s="638"/>
      <c r="AE285" s="639"/>
      <c r="AF285" s="639"/>
      <c r="AG285" s="640"/>
      <c r="AH285" s="641"/>
      <c r="AI285" s="634"/>
      <c r="AJ285" s="634"/>
      <c r="AK285" s="634"/>
      <c r="AL285" s="634"/>
      <c r="AM285" s="634"/>
      <c r="AN285" s="634"/>
      <c r="AO285" s="634"/>
      <c r="AP285" s="634"/>
      <c r="AQ285" s="634"/>
      <c r="AR285" s="634"/>
      <c r="AS285" s="634"/>
      <c r="AT285" s="634"/>
      <c r="AU285" s="634"/>
      <c r="AV285" s="634"/>
      <c r="AW285" s="634"/>
      <c r="AX285" s="634"/>
      <c r="AY285" s="634"/>
      <c r="AZ285" s="634"/>
      <c r="BA285" s="634"/>
      <c r="BB285" s="634"/>
      <c r="BC285" s="634"/>
      <c r="BD285" s="634"/>
      <c r="BE285" s="634"/>
      <c r="BF285" s="634"/>
      <c r="BG285" s="634"/>
      <c r="BH285" s="634"/>
      <c r="BI285" s="634"/>
      <c r="BJ285" s="634"/>
      <c r="BK285" s="634"/>
      <c r="BL285" s="634"/>
      <c r="BM285" s="634"/>
      <c r="BN285" s="634"/>
      <c r="BO285" s="634"/>
      <c r="BP285" s="634"/>
      <c r="BQ285" s="634"/>
      <c r="BR285" s="634"/>
      <c r="BS285" s="634"/>
      <c r="BT285" s="634"/>
      <c r="BU285" s="634"/>
      <c r="BV285" s="635"/>
      <c r="BW285" s="635"/>
      <c r="BX285" s="635"/>
      <c r="BY285" s="635"/>
      <c r="BZ285" s="635"/>
      <c r="CA285" s="635"/>
      <c r="CB285" s="635"/>
      <c r="CC285" s="635"/>
      <c r="CD285" s="635"/>
      <c r="CE285" s="635"/>
      <c r="CF285" s="1859"/>
    </row>
    <row customHeight="1" ht="15" hidden="1">
      <c r="A286" s="632"/>
      <c r="B286" s="633"/>
      <c r="C286" s="633"/>
      <c r="D286" s="2588"/>
      <c r="E286" s="2386" t="s">
        <v>638</v>
      </c>
      <c r="F286" s="2387"/>
      <c r="G286" s="2388"/>
      <c r="H286" s="2392" t="str">
        <f>IF(A284="","",INDEX(DIFFERENTIATION_UNMERGE_SYSTEM,MATCH(A284,DIFFERENTIATION_ID_DIFF,0)))</f>
        <v>Котельная №25,  МКР Г-1, ул.Гидротехническая</v>
      </c>
      <c r="I286" s="2392"/>
      <c r="J286" s="2392"/>
      <c r="K286" s="2392"/>
      <c r="L286" s="2392"/>
      <c r="M286" s="2392"/>
      <c r="N286" s="2392"/>
      <c r="O286" s="2392"/>
      <c r="P286" s="2392"/>
      <c r="Q286" s="2392"/>
      <c r="R286" s="2392"/>
      <c r="S286" s="728"/>
      <c r="T286" s="725"/>
      <c r="U286" s="634"/>
      <c r="V286" s="634"/>
      <c r="W286" s="635"/>
      <c r="X286" s="635"/>
      <c r="Y286" s="635"/>
      <c r="Z286" s="635"/>
      <c r="AA286" s="636"/>
      <c r="AB286" s="637"/>
      <c r="AC286" s="2384"/>
      <c r="AD286" s="638"/>
      <c r="AE286" s="639"/>
      <c r="AF286" s="639"/>
      <c r="AG286" s="640"/>
      <c r="AH286" s="641"/>
      <c r="AI286" s="634"/>
      <c r="AJ286" s="634"/>
      <c r="AK286" s="634"/>
      <c r="AL286" s="634"/>
      <c r="AM286" s="634"/>
      <c r="AN286" s="634"/>
      <c r="AO286" s="634"/>
      <c r="AP286" s="634"/>
      <c r="AQ286" s="634"/>
      <c r="AR286" s="634"/>
      <c r="AS286" s="634"/>
      <c r="AT286" s="634"/>
      <c r="AU286" s="634"/>
      <c r="AV286" s="634"/>
      <c r="AW286" s="634"/>
      <c r="AX286" s="634"/>
      <c r="AY286" s="634"/>
      <c r="AZ286" s="634"/>
      <c r="BA286" s="634"/>
      <c r="BB286" s="634"/>
      <c r="BC286" s="634"/>
      <c r="BD286" s="634"/>
      <c r="BE286" s="634"/>
      <c r="BF286" s="634"/>
      <c r="BG286" s="634"/>
      <c r="BH286" s="634"/>
      <c r="BI286" s="634"/>
      <c r="BJ286" s="634"/>
      <c r="BK286" s="634"/>
      <c r="BL286" s="634"/>
      <c r="BM286" s="634"/>
      <c r="BN286" s="634"/>
      <c r="BO286" s="634"/>
      <c r="BP286" s="634"/>
      <c r="BQ286" s="634"/>
      <c r="BR286" s="634"/>
      <c r="BS286" s="634"/>
      <c r="BT286" s="634"/>
      <c r="BU286" s="634"/>
      <c r="BV286" s="635"/>
      <c r="BW286" s="635"/>
      <c r="BX286" s="635"/>
      <c r="BY286" s="635"/>
      <c r="BZ286" s="635"/>
      <c r="CA286" s="635"/>
      <c r="CB286" s="635"/>
      <c r="CC286" s="635"/>
      <c r="CD286" s="635"/>
      <c r="CE286" s="635"/>
      <c r="CF286" s="1859"/>
    </row>
    <row customHeight="1" ht="24.75" hidden="1">
      <c r="A287" s="1815"/>
      <c r="B287" s="1169"/>
      <c r="C287" s="421"/>
      <c r="D287" s="2588"/>
      <c r="E287" s="2385" t="s">
        <v>683</v>
      </c>
      <c r="F287" s="2385"/>
      <c r="G287" s="2385"/>
      <c r="H287" s="2385"/>
      <c r="I287" s="2385"/>
      <c r="J287" s="2385"/>
      <c r="K287" s="2385"/>
      <c r="L287" s="2385"/>
      <c r="M287" s="2385"/>
      <c r="N287" s="2385"/>
      <c r="O287" s="2385"/>
      <c r="P287" s="2385"/>
      <c r="Q287" s="567">
        <f>SUMIF(T288:T289,"i",Q288:Q289)</f>
        <v>0</v>
      </c>
      <c r="R287" s="1026"/>
      <c r="S287" s="1807" t="s">
        <v>684</v>
      </c>
      <c r="T287" s="726" t="s">
        <v>685</v>
      </c>
      <c r="U287" s="2383">
        <v>1</v>
      </c>
      <c r="V287" s="2383" t="s">
        <v>648</v>
      </c>
      <c r="W287" s="1169"/>
      <c r="X287" s="1169"/>
      <c r="Y287" s="1169"/>
      <c r="Z287" s="1169"/>
      <c r="AA287" s="1645"/>
      <c r="AB287" s="1169"/>
      <c r="AC287" s="2384"/>
      <c r="AD287" s="638"/>
      <c r="AE287" s="1169"/>
      <c r="AF287" s="1169"/>
      <c r="AG287" s="1645"/>
      <c r="AH287" s="1645"/>
      <c r="AI287" s="1645"/>
      <c r="AJ287" s="1645"/>
      <c r="AK287" s="1645"/>
      <c r="AL287" s="1645"/>
      <c r="AM287" s="1645"/>
      <c r="AN287" s="1645"/>
      <c r="AO287" s="1645"/>
      <c r="AP287" s="1645"/>
      <c r="AQ287" s="1645"/>
      <c r="AR287" s="1645"/>
      <c r="AS287" s="1645"/>
      <c r="AT287" s="1645"/>
      <c r="AU287" s="1645"/>
      <c r="AV287" s="1645"/>
      <c r="AW287" s="1645"/>
      <c r="AX287" s="1645"/>
      <c r="AY287" s="1645"/>
      <c r="AZ287" s="1645"/>
      <c r="BA287" s="1645"/>
      <c r="BB287" s="1645"/>
      <c r="BC287" s="1645"/>
      <c r="BD287" s="1645"/>
      <c r="BE287" s="1645"/>
      <c r="BF287" s="1645"/>
      <c r="BG287" s="1645"/>
      <c r="BH287" s="1645"/>
      <c r="BI287" s="1645"/>
      <c r="BJ287" s="1645"/>
      <c r="BK287" s="1645"/>
      <c r="BL287" s="1645"/>
      <c r="BM287" s="1645"/>
      <c r="BN287" s="1645"/>
      <c r="BO287" s="1645"/>
      <c r="BP287" s="1645"/>
      <c r="BQ287" s="1645"/>
      <c r="BR287" s="1645"/>
      <c r="BS287" s="1645"/>
      <c r="BT287" s="1645"/>
      <c r="BU287" s="1645"/>
      <c r="BV287" s="1169"/>
      <c r="BW287" s="1169"/>
      <c r="BX287" s="1169"/>
      <c r="BY287" s="1169"/>
      <c r="BZ287" s="1169"/>
      <c r="CA287" s="1169"/>
      <c r="CB287" s="1169"/>
      <c r="CC287" s="1169"/>
      <c r="CD287" s="1169"/>
      <c r="CE287" s="1169"/>
      <c r="CF287" s="1859"/>
    </row>
    <row customHeight="1" ht="11.25" hidden="1">
      <c r="A288" s="1802"/>
      <c r="B288" s="1645"/>
      <c r="C288" s="1645"/>
      <c r="D288" s="2588"/>
      <c r="E288" s="644"/>
      <c r="F288" s="644">
        <v>0</v>
      </c>
      <c r="G288" s="644"/>
      <c r="H288" s="644"/>
      <c r="I288" s="644"/>
      <c r="J288" s="644"/>
      <c r="K288" s="644"/>
      <c r="L288" s="644"/>
      <c r="M288" s="644"/>
      <c r="N288" s="644"/>
      <c r="O288" s="644"/>
      <c r="P288" s="644"/>
      <c r="Q288" s="644"/>
      <c r="R288" s="644"/>
      <c r="S288" s="645"/>
      <c r="T288" s="727"/>
      <c r="U288" s="2383"/>
      <c r="V288" s="2383"/>
      <c r="W288" s="1645"/>
      <c r="X288" s="1645"/>
      <c r="Y288" s="1645"/>
      <c r="Z288" s="1645"/>
      <c r="AA288" s="1645"/>
      <c r="AB288" s="1169"/>
      <c r="AC288" s="2384"/>
      <c r="AD288" s="638"/>
      <c r="AE288" s="1169"/>
      <c r="AF288" s="1169"/>
      <c r="AG288" s="1645"/>
      <c r="AH288" s="1645"/>
      <c r="AI288" s="1645"/>
      <c r="AJ288" s="1645"/>
      <c r="AK288" s="1645"/>
      <c r="AL288" s="1645"/>
      <c r="AM288" s="1645"/>
      <c r="AN288" s="1645"/>
      <c r="AO288" s="1645"/>
      <c r="AP288" s="1645"/>
      <c r="AQ288" s="1645"/>
      <c r="AR288" s="1645"/>
      <c r="AS288" s="1645"/>
      <c r="AT288" s="1645"/>
      <c r="AU288" s="1645"/>
      <c r="AV288" s="1645"/>
      <c r="AW288" s="1645"/>
      <c r="AX288" s="1645"/>
      <c r="AY288" s="1645"/>
      <c r="AZ288" s="1645"/>
      <c r="BA288" s="1645"/>
      <c r="BB288" s="1645"/>
      <c r="BC288" s="1645"/>
      <c r="BD288" s="1645"/>
      <c r="BE288" s="1645"/>
      <c r="BF288" s="1645"/>
      <c r="BG288" s="1645"/>
      <c r="BH288" s="1645"/>
      <c r="BI288" s="1645"/>
      <c r="BJ288" s="1645"/>
      <c r="BK288" s="1645"/>
      <c r="BL288" s="1645"/>
      <c r="BM288" s="1645"/>
      <c r="BN288" s="1645"/>
      <c r="BO288" s="1645"/>
      <c r="BP288" s="1645"/>
      <c r="BQ288" s="1645"/>
      <c r="BR288" s="1645"/>
      <c r="BS288" s="1645"/>
      <c r="BT288" s="1645"/>
      <c r="BU288" s="1645"/>
      <c r="BV288" s="1645"/>
      <c r="BW288" s="1645"/>
      <c r="BX288" s="1645"/>
      <c r="BY288" s="1645"/>
      <c r="BZ288" s="1645"/>
      <c r="CA288" s="1645"/>
      <c r="CB288" s="1645"/>
      <c r="CC288" s="1645"/>
      <c r="CD288" s="1645"/>
      <c r="CE288" s="1645"/>
      <c r="CF288" s="1859"/>
    </row>
    <row customHeight="1" ht="11.25" hidden="1">
      <c r="A289" s="1815"/>
      <c r="B289" s="1169"/>
      <c r="C289" s="421"/>
      <c r="D289" s="2588"/>
      <c r="E289" s="658" t="s">
        <v>22</v>
      </c>
      <c r="F289" s="1177" t="s">
        <v>22</v>
      </c>
      <c r="G289" s="1177" t="s">
        <v>688</v>
      </c>
      <c r="H289" s="660" t="s">
        <v>22</v>
      </c>
      <c r="I289" s="660"/>
      <c r="J289" s="660"/>
      <c r="K289" s="660"/>
      <c r="L289" s="660"/>
      <c r="M289" s="660"/>
      <c r="N289" s="660"/>
      <c r="O289" s="660"/>
      <c r="P289" s="660"/>
      <c r="Q289" s="660"/>
      <c r="R289" s="661"/>
      <c r="S289" s="662"/>
      <c r="T289" s="727"/>
      <c r="U289" s="2383"/>
      <c r="V289" s="2383"/>
      <c r="W289" s="1169"/>
      <c r="X289" s="1169"/>
      <c r="Y289" s="1169"/>
      <c r="Z289" s="1169"/>
      <c r="AA289" s="1645"/>
      <c r="AB289" s="1169"/>
      <c r="AC289" s="2384"/>
      <c r="AD289" s="638"/>
      <c r="AE289" s="1169"/>
      <c r="AF289" s="1169"/>
      <c r="AG289" s="1645"/>
      <c r="AH289" s="1645"/>
      <c r="AI289" s="1645"/>
      <c r="AJ289" s="1645"/>
      <c r="AK289" s="1645"/>
      <c r="AL289" s="1645"/>
      <c r="AM289" s="1645"/>
      <c r="AN289" s="1645"/>
      <c r="AO289" s="1645"/>
      <c r="AP289" s="1645"/>
      <c r="AQ289" s="1645"/>
      <c r="AR289" s="1645"/>
      <c r="AS289" s="1645"/>
      <c r="AT289" s="1645"/>
      <c r="AU289" s="1645"/>
      <c r="AV289" s="1645"/>
      <c r="AW289" s="1645"/>
      <c r="AX289" s="1645"/>
      <c r="AY289" s="1645"/>
      <c r="AZ289" s="1645"/>
      <c r="BA289" s="1645"/>
      <c r="BB289" s="1645"/>
      <c r="BC289" s="1645"/>
      <c r="BD289" s="1645"/>
      <c r="BE289" s="1645"/>
      <c r="BF289" s="1645"/>
      <c r="BG289" s="1645"/>
      <c r="BH289" s="1645"/>
      <c r="BI289" s="1645"/>
      <c r="BJ289" s="1645"/>
      <c r="BK289" s="1645"/>
      <c r="BL289" s="1645"/>
      <c r="BM289" s="1645"/>
      <c r="BN289" s="1645"/>
      <c r="BO289" s="1645"/>
      <c r="BP289" s="1645"/>
      <c r="BQ289" s="1645"/>
      <c r="BR289" s="1645"/>
      <c r="BS289" s="1645"/>
      <c r="BT289" s="1645"/>
      <c r="BU289" s="1645"/>
      <c r="BV289" s="1169"/>
      <c r="BW289" s="1169"/>
      <c r="BX289" s="1169"/>
      <c r="BY289" s="1169"/>
      <c r="BZ289" s="1169"/>
      <c r="CA289" s="1169"/>
      <c r="CB289" s="1169"/>
      <c r="CC289" s="1169"/>
      <c r="CD289" s="1169"/>
      <c r="CE289" s="1169"/>
      <c r="CF289" s="1859"/>
    </row>
    <row customHeight="1" ht="5.25" hidden="1">
      <c r="A290" s="1802"/>
      <c r="B290" s="1645"/>
      <c r="C290" s="1645"/>
      <c r="D290" s="2588"/>
      <c r="E290" s="1048"/>
      <c r="F290" s="1048"/>
      <c r="G290" s="1048"/>
      <c r="H290" s="1048"/>
      <c r="I290" s="1048"/>
      <c r="J290" s="1048"/>
      <c r="K290" s="1048"/>
      <c r="L290" s="1048"/>
      <c r="M290" s="1048"/>
      <c r="N290" s="1048"/>
      <c r="O290" s="1048"/>
      <c r="P290" s="1048"/>
      <c r="Q290" s="1049"/>
      <c r="R290" s="1050"/>
      <c r="S290" s="1051"/>
      <c r="T290" s="726" t="s">
        <v>685</v>
      </c>
      <c r="U290" s="2383">
        <v>1</v>
      </c>
      <c r="V290" s="2383" t="s">
        <v>648</v>
      </c>
      <c r="W290" s="1645"/>
      <c r="X290" s="1645"/>
      <c r="Y290" s="1645"/>
      <c r="Z290" s="1645"/>
      <c r="AA290" s="1645"/>
      <c r="AB290" s="1645"/>
      <c r="AC290" s="1046"/>
      <c r="AD290" s="1047"/>
      <c r="AE290" s="1645"/>
      <c r="AF290" s="1645"/>
      <c r="AG290" s="1645"/>
      <c r="AH290" s="1645"/>
      <c r="AI290" s="1645"/>
      <c r="AJ290" s="1645"/>
      <c r="AK290" s="1645"/>
      <c r="AL290" s="1645"/>
      <c r="AM290" s="1645"/>
      <c r="AN290" s="1645"/>
      <c r="AO290" s="1645"/>
      <c r="AP290" s="1645"/>
      <c r="AQ290" s="1645"/>
      <c r="AR290" s="1645"/>
      <c r="AS290" s="1645"/>
      <c r="AT290" s="1645"/>
      <c r="AU290" s="1645"/>
      <c r="AV290" s="1645"/>
      <c r="AW290" s="1645"/>
      <c r="AX290" s="1645"/>
      <c r="AY290" s="1645"/>
      <c r="AZ290" s="1645"/>
      <c r="BA290" s="1645"/>
      <c r="BB290" s="1645"/>
      <c r="BC290" s="1645"/>
      <c r="BD290" s="1645"/>
      <c r="BE290" s="1645"/>
      <c r="BF290" s="1645"/>
      <c r="BG290" s="1645"/>
      <c r="BH290" s="1645"/>
      <c r="BI290" s="1645"/>
      <c r="BJ290" s="1645"/>
      <c r="BK290" s="1645"/>
      <c r="BL290" s="1645"/>
      <c r="BM290" s="1645"/>
      <c r="BN290" s="1645"/>
      <c r="BO290" s="1645"/>
      <c r="BP290" s="1645"/>
      <c r="BQ290" s="1645"/>
      <c r="BR290" s="1645"/>
      <c r="BS290" s="1645"/>
      <c r="BT290" s="1645"/>
      <c r="BU290" s="1645"/>
      <c r="BV290" s="1645"/>
      <c r="BW290" s="1645"/>
      <c r="BX290" s="1645"/>
      <c r="BY290" s="1645"/>
      <c r="BZ290" s="1645"/>
      <c r="CA290" s="1645"/>
      <c r="CB290" s="1645"/>
      <c r="CC290" s="1645"/>
      <c r="CD290" s="1645"/>
      <c r="CE290" s="1645"/>
      <c r="CF290" s="1325"/>
    </row>
    <row customHeight="1" ht="5.25" hidden="1">
      <c r="A291" s="1802"/>
      <c r="B291" s="1645"/>
      <c r="C291" s="1645"/>
      <c r="D291" s="2588"/>
      <c r="E291" s="644"/>
      <c r="F291" s="644"/>
      <c r="G291" s="644"/>
      <c r="H291" s="644"/>
      <c r="I291" s="644"/>
      <c r="J291" s="644"/>
      <c r="K291" s="644"/>
      <c r="L291" s="644"/>
      <c r="M291" s="644"/>
      <c r="N291" s="644"/>
      <c r="O291" s="644"/>
      <c r="P291" s="644"/>
      <c r="Q291" s="644"/>
      <c r="R291" s="644"/>
      <c r="S291" s="645"/>
      <c r="T291" s="727"/>
      <c r="U291" s="2383"/>
      <c r="V291" s="2383"/>
      <c r="W291" s="1645"/>
      <c r="X291" s="1645"/>
      <c r="Y291" s="1645"/>
      <c r="Z291" s="1645"/>
      <c r="AA291" s="1645"/>
      <c r="AB291" s="1645"/>
      <c r="AC291" s="1046"/>
      <c r="AD291" s="1047"/>
      <c r="AE291" s="1645"/>
      <c r="AF291" s="1645"/>
      <c r="AG291" s="1645"/>
      <c r="AH291" s="1645"/>
      <c r="AI291" s="1645"/>
      <c r="AJ291" s="1645"/>
      <c r="AK291" s="1645"/>
      <c r="AL291" s="1645"/>
      <c r="AM291" s="1645"/>
      <c r="AN291" s="1645"/>
      <c r="AO291" s="1645"/>
      <c r="AP291" s="1645"/>
      <c r="AQ291" s="1645"/>
      <c r="AR291" s="1645"/>
      <c r="AS291" s="1645"/>
      <c r="AT291" s="1645"/>
      <c r="AU291" s="1645"/>
      <c r="AV291" s="1645"/>
      <c r="AW291" s="1645"/>
      <c r="AX291" s="1645"/>
      <c r="AY291" s="1645"/>
      <c r="AZ291" s="1645"/>
      <c r="BA291" s="1645"/>
      <c r="BB291" s="1645"/>
      <c r="BC291" s="1645"/>
      <c r="BD291" s="1645"/>
      <c r="BE291" s="1645"/>
      <c r="BF291" s="1645"/>
      <c r="BG291" s="1645"/>
      <c r="BH291" s="1645"/>
      <c r="BI291" s="1645"/>
      <c r="BJ291" s="1645"/>
      <c r="BK291" s="1645"/>
      <c r="BL291" s="1645"/>
      <c r="BM291" s="1645"/>
      <c r="BN291" s="1645"/>
      <c r="BO291" s="1645"/>
      <c r="BP291" s="1645"/>
      <c r="BQ291" s="1645"/>
      <c r="BR291" s="1645"/>
      <c r="BS291" s="1645"/>
      <c r="BT291" s="1645"/>
      <c r="BU291" s="1645"/>
      <c r="BV291" s="1645"/>
      <c r="BW291" s="1645"/>
      <c r="BX291" s="1645"/>
      <c r="BY291" s="1645"/>
      <c r="BZ291" s="1645"/>
      <c r="CA291" s="1645"/>
      <c r="CB291" s="1645"/>
      <c r="CC291" s="1645"/>
      <c r="CD291" s="1645"/>
      <c r="CE291" s="1645"/>
      <c r="CF291" s="1325"/>
    </row>
    <row customHeight="1" ht="5.25" hidden="1">
      <c r="A292" s="1802"/>
      <c r="B292" s="1645"/>
      <c r="C292" s="1645"/>
      <c r="D292" s="2589"/>
      <c r="E292" s="1052"/>
      <c r="F292" s="1053"/>
      <c r="G292" s="1053"/>
      <c r="H292" s="1054"/>
      <c r="I292" s="1054"/>
      <c r="J292" s="1054"/>
      <c r="K292" s="1054"/>
      <c r="L292" s="1054"/>
      <c r="M292" s="1054"/>
      <c r="N292" s="1054"/>
      <c r="O292" s="1054"/>
      <c r="P292" s="1054"/>
      <c r="Q292" s="1054"/>
      <c r="R292" s="955"/>
      <c r="S292" s="1055"/>
      <c r="T292" s="727"/>
      <c r="U292" s="2383"/>
      <c r="V292" s="2383"/>
      <c r="W292" s="1645"/>
      <c r="X292" s="1645"/>
      <c r="Y292" s="1645"/>
      <c r="Z292" s="1645"/>
      <c r="AA292" s="1645"/>
      <c r="AB292" s="1645"/>
      <c r="AC292" s="1046"/>
      <c r="AD292" s="1047"/>
      <c r="AE292" s="1645"/>
      <c r="AF292" s="1645"/>
      <c r="AG292" s="1645"/>
      <c r="AH292" s="1645"/>
      <c r="AI292" s="1645"/>
      <c r="AJ292" s="1645"/>
      <c r="AK292" s="1645"/>
      <c r="AL292" s="1645"/>
      <c r="AM292" s="1645"/>
      <c r="AN292" s="1645"/>
      <c r="AO292" s="1645"/>
      <c r="AP292" s="1645"/>
      <c r="AQ292" s="1645"/>
      <c r="AR292" s="1645"/>
      <c r="AS292" s="1645"/>
      <c r="AT292" s="1645"/>
      <c r="AU292" s="1645"/>
      <c r="AV292" s="1645"/>
      <c r="AW292" s="1645"/>
      <c r="AX292" s="1645"/>
      <c r="AY292" s="1645"/>
      <c r="AZ292" s="1645"/>
      <c r="BA292" s="1645"/>
      <c r="BB292" s="1645"/>
      <c r="BC292" s="1645"/>
      <c r="BD292" s="1645"/>
      <c r="BE292" s="1645"/>
      <c r="BF292" s="1645"/>
      <c r="BG292" s="1645"/>
      <c r="BH292" s="1645"/>
      <c r="BI292" s="1645"/>
      <c r="BJ292" s="1645"/>
      <c r="BK292" s="1645"/>
      <c r="BL292" s="1645"/>
      <c r="BM292" s="1645"/>
      <c r="BN292" s="1645"/>
      <c r="BO292" s="1645"/>
      <c r="BP292" s="1645"/>
      <c r="BQ292" s="1645"/>
      <c r="BR292" s="1645"/>
      <c r="BS292" s="1645"/>
      <c r="BT292" s="1645"/>
      <c r="BU292" s="1645"/>
      <c r="BV292" s="1645"/>
      <c r="BW292" s="1645"/>
      <c r="BX292" s="1645"/>
      <c r="BY292" s="1645"/>
      <c r="BZ292" s="1645"/>
      <c r="CA292" s="1645"/>
      <c r="CB292" s="1645"/>
      <c r="CC292" s="1645"/>
      <c r="CD292" s="1645"/>
      <c r="CE292" s="1645"/>
      <c r="CF292" s="1325"/>
    </row>
    <row customHeight="1" ht="19.95">
      <c r="D293" s="1056"/>
      <c r="E293" s="1056"/>
      <c r="F293" s="1056"/>
      <c r="G293" s="1056"/>
      <c r="H293" s="1056"/>
      <c r="I293" s="1056"/>
      <c r="J293" s="1056"/>
      <c r="K293" s="1056"/>
      <c r="L293" s="1056"/>
      <c r="M293" s="1056"/>
      <c r="N293" s="1056"/>
      <c r="O293" s="1056"/>
      <c r="P293" s="1056"/>
      <c r="Q293" s="1056"/>
      <c r="R293" s="1056"/>
      <c r="S293" s="1056"/>
      <c r="T293" s="343"/>
      <c r="CF293" s="514">
        <v>19</v>
      </c>
    </row>
    <row customHeight="1" ht="11.549999999999999">
      <c r="D294" s="518"/>
      <c r="CF294" s="514">
        <v>11</v>
      </c>
    </row>
    <row customHeight="1" ht="11.549999999999999">
      <c r="D295" s="663"/>
      <c r="E295" s="663"/>
      <c r="F295" s="663"/>
      <c r="G295" s="664"/>
      <c r="CF295" s="514">
        <v>11</v>
      </c>
    </row>
    <row customHeight="1" ht="11.549999999999999">
      <c r="CF296" s="514">
        <v>11</v>
      </c>
    </row>
    <row customHeight="1" ht="11.549999999999999">
      <c r="D297" s="665"/>
      <c r="E297" s="2393"/>
      <c r="F297" s="2393"/>
      <c r="G297" s="2393"/>
      <c r="H297" s="2393"/>
      <c r="I297" s="2393"/>
      <c r="J297" s="2393"/>
      <c r="K297" s="2393"/>
      <c r="L297" s="2393"/>
      <c r="M297" s="2393"/>
      <c r="N297" s="2393"/>
      <c r="O297" s="2393"/>
      <c r="P297" s="2393"/>
      <c r="Q297" s="2393"/>
      <c r="R297" s="2393"/>
      <c r="CF297" s="514">
        <v>11</v>
      </c>
    </row>
    <row customHeight="1" ht="11.549999999999999">
      <c r="F298" s="767"/>
      <c r="G298" s="767"/>
      <c r="CF298" s="514">
        <v>11</v>
      </c>
    </row>
    <row customHeight="1" ht="11.25" hidden="1">
      <c r="A299" s="619" t="s">
        <v>82</v>
      </c>
      <c r="B299" s="458">
        <v>0</v>
      </c>
      <c r="C299" s="514">
        <v>3</v>
      </c>
      <c r="D299" s="514">
        <v>0</v>
      </c>
      <c r="E299" s="514">
        <v>7</v>
      </c>
      <c r="F299" s="514">
        <v>7</v>
      </c>
      <c r="G299" s="514">
        <v>29</v>
      </c>
      <c r="H299" s="514">
        <v>3</v>
      </c>
      <c r="I299" s="514">
        <v>5</v>
      </c>
      <c r="J299" s="514">
        <v>24</v>
      </c>
      <c r="K299" s="514">
        <v>24</v>
      </c>
      <c r="L299" s="514">
        <v>3</v>
      </c>
      <c r="M299" s="514">
        <v>6</v>
      </c>
      <c r="N299" s="514">
        <v>25</v>
      </c>
      <c r="O299" s="514">
        <v>18</v>
      </c>
      <c r="P299" s="514">
        <v>18</v>
      </c>
      <c r="Q299" s="514">
        <v>18</v>
      </c>
      <c r="R299" s="514">
        <v>18</v>
      </c>
      <c r="S299" s="514">
        <v>93</v>
      </c>
      <c r="T299" s="514">
        <v>10</v>
      </c>
      <c r="U299" s="620">
        <v>10</v>
      </c>
      <c r="V299" s="620">
        <v>11</v>
      </c>
      <c r="W299" s="621">
        <v>10</v>
      </c>
      <c r="X299" s="458">
        <v>10</v>
      </c>
      <c r="Y299" s="458">
        <v>10</v>
      </c>
      <c r="Z299" s="458">
        <v>10</v>
      </c>
      <c r="AA299" s="458">
        <v>10</v>
      </c>
      <c r="AB299" s="514">
        <v>8</v>
      </c>
      <c r="AC299" s="514">
        <v>8</v>
      </c>
      <c r="AD299" s="514">
        <v>8</v>
      </c>
      <c r="AE299" s="514">
        <v>8</v>
      </c>
      <c r="AF299" s="514">
        <v>8</v>
      </c>
      <c r="AG299" s="514">
        <v>8</v>
      </c>
      <c r="AH299" s="514">
        <v>8</v>
      </c>
      <c r="AI299" s="514">
        <v>8</v>
      </c>
      <c r="AJ299" s="514">
        <v>8</v>
      </c>
      <c r="AK299" s="514">
        <v>8</v>
      </c>
      <c r="AL299" s="514">
        <v>8</v>
      </c>
      <c r="AM299" s="514">
        <v>8</v>
      </c>
      <c r="AN299" s="514">
        <v>8</v>
      </c>
      <c r="AO299" s="514">
        <v>8</v>
      </c>
      <c r="AP299" s="514">
        <v>8</v>
      </c>
      <c r="AQ299" s="514">
        <v>8</v>
      </c>
      <c r="AR299" s="514">
        <v>8</v>
      </c>
      <c r="AS299" s="514">
        <v>8</v>
      </c>
      <c r="AT299" s="514">
        <v>8</v>
      </c>
      <c r="AU299" s="514">
        <v>8</v>
      </c>
      <c r="AV299" s="514">
        <v>8</v>
      </c>
      <c r="AW299" s="514">
        <v>8</v>
      </c>
      <c r="AX299" s="514">
        <v>8</v>
      </c>
      <c r="AY299" s="514">
        <v>8</v>
      </c>
      <c r="AZ299" s="514">
        <v>8</v>
      </c>
      <c r="BA299" s="514">
        <v>8</v>
      </c>
      <c r="BB299" s="514">
        <v>8</v>
      </c>
      <c r="BC299" s="514">
        <v>8</v>
      </c>
      <c r="BD299" s="514">
        <v>8</v>
      </c>
      <c r="BE299" s="514">
        <v>8</v>
      </c>
      <c r="BF299" s="514">
        <v>8</v>
      </c>
      <c r="BG299" s="514">
        <v>8</v>
      </c>
      <c r="BH299" s="514">
        <v>8</v>
      </c>
      <c r="BI299" s="514">
        <v>8</v>
      </c>
      <c r="BJ299" s="514">
        <v>8</v>
      </c>
      <c r="BK299" s="514">
        <v>8</v>
      </c>
      <c r="BL299" s="514">
        <v>8</v>
      </c>
      <c r="BM299" s="514">
        <v>8</v>
      </c>
      <c r="BN299" s="514">
        <v>8</v>
      </c>
      <c r="BO299" s="514">
        <v>8</v>
      </c>
      <c r="BP299" s="514">
        <v>8</v>
      </c>
      <c r="BQ299" s="514">
        <v>8</v>
      </c>
      <c r="BR299" s="514">
        <v>8</v>
      </c>
      <c r="BS299" s="514">
        <v>8</v>
      </c>
      <c r="BT299" s="514">
        <v>8</v>
      </c>
      <c r="BU299" s="514">
        <v>8</v>
      </c>
      <c r="BV299" s="514">
        <v>8</v>
      </c>
      <c r="BW299" s="514">
        <v>8</v>
      </c>
      <c r="BX299" s="514">
        <v>8</v>
      </c>
      <c r="BY299" s="514">
        <v>8</v>
      </c>
      <c r="BZ299" s="514">
        <v>8</v>
      </c>
      <c r="CA299" s="514">
        <v>8</v>
      </c>
      <c r="CB299" s="514">
        <v>8</v>
      </c>
      <c r="CC299" s="514">
        <v>8</v>
      </c>
      <c r="CD299" s="514">
        <v>8</v>
      </c>
      <c r="CE299" s="514">
        <v>8</v>
      </c>
      <c r="CF299" s="514">
        <v>11</v>
      </c>
    </row>
  </sheetData>
  <sheetProtection formatColumns="0" formatRows="0" autoFilter="0" sort="0" insertRows="0" insertColumns="1" deleteRows="0" deleteColumns="0"/>
  <mergeCells count="412">
    <mergeCell ref="E5:K5"/>
    <mergeCell ref="E6:K6"/>
    <mergeCell ref="E9:R9"/>
    <mergeCell ref="S9:S10"/>
    <mergeCell ref="E10:F10"/>
    <mergeCell ref="H10:I10"/>
    <mergeCell ref="L10:M10"/>
    <mergeCell ref="D14:D22"/>
    <mergeCell ref="H14:R14"/>
    <mergeCell ref="H15:R15"/>
    <mergeCell ref="H16:R16"/>
    <mergeCell ref="E297:R297"/>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 ref="U74:U76"/>
    <mergeCell ref="V74:V76"/>
    <mergeCell ref="U71:U73"/>
    <mergeCell ref="V71:V73"/>
    <mergeCell ref="D68:D76"/>
    <mergeCell ref="E68:G68"/>
    <mergeCell ref="H68:R68"/>
    <mergeCell ref="AC68:AC73"/>
    <mergeCell ref="E69:G69"/>
    <mergeCell ref="H69:R69"/>
    <mergeCell ref="E70:G70"/>
    <mergeCell ref="H70:R70"/>
    <mergeCell ref="E71:P71"/>
    <mergeCell ref="U83:U85"/>
    <mergeCell ref="V83:V85"/>
    <mergeCell ref="U80:U82"/>
    <mergeCell ref="V80:V82"/>
    <mergeCell ref="D77:D85"/>
    <mergeCell ref="E77:G77"/>
    <mergeCell ref="H77:R77"/>
    <mergeCell ref="AC77:AC82"/>
    <mergeCell ref="E78:G78"/>
    <mergeCell ref="H78:R78"/>
    <mergeCell ref="E79:G79"/>
    <mergeCell ref="H79:R79"/>
    <mergeCell ref="E80:P80"/>
    <mergeCell ref="U92:U94"/>
    <mergeCell ref="V92:V94"/>
    <mergeCell ref="U89:U91"/>
    <mergeCell ref="V89:V91"/>
    <mergeCell ref="D86:D94"/>
    <mergeCell ref="E86:G86"/>
    <mergeCell ref="H86:R86"/>
    <mergeCell ref="AC86:AC91"/>
    <mergeCell ref="E87:G87"/>
    <mergeCell ref="H87:R87"/>
    <mergeCell ref="E88:G88"/>
    <mergeCell ref="H88:R88"/>
    <mergeCell ref="E89:P89"/>
    <mergeCell ref="U101:U103"/>
    <mergeCell ref="V101:V103"/>
    <mergeCell ref="U98:U100"/>
    <mergeCell ref="V98:V100"/>
    <mergeCell ref="D95:D103"/>
    <mergeCell ref="E95:G95"/>
    <mergeCell ref="H95:R95"/>
    <mergeCell ref="AC95:AC100"/>
    <mergeCell ref="E96:G96"/>
    <mergeCell ref="H96:R96"/>
    <mergeCell ref="E97:G97"/>
    <mergeCell ref="H97:R97"/>
    <mergeCell ref="E98:P98"/>
    <mergeCell ref="U110:U112"/>
    <mergeCell ref="V110:V112"/>
    <mergeCell ref="U107:U109"/>
    <mergeCell ref="V107:V109"/>
    <mergeCell ref="D104:D112"/>
    <mergeCell ref="E104:G104"/>
    <mergeCell ref="H104:R104"/>
    <mergeCell ref="AC104:AC109"/>
    <mergeCell ref="E105:G105"/>
    <mergeCell ref="H105:R105"/>
    <mergeCell ref="E106:G106"/>
    <mergeCell ref="H106:R106"/>
    <mergeCell ref="E107:P107"/>
    <mergeCell ref="U119:U121"/>
    <mergeCell ref="V119:V121"/>
    <mergeCell ref="U116:U118"/>
    <mergeCell ref="V116:V118"/>
    <mergeCell ref="D113:D121"/>
    <mergeCell ref="E113:G113"/>
    <mergeCell ref="H113:R113"/>
    <mergeCell ref="AC113:AC118"/>
    <mergeCell ref="E114:G114"/>
    <mergeCell ref="H114:R114"/>
    <mergeCell ref="E115:G115"/>
    <mergeCell ref="H115:R115"/>
    <mergeCell ref="E116:P116"/>
    <mergeCell ref="U128:U130"/>
    <mergeCell ref="V128:V130"/>
    <mergeCell ref="U125:U127"/>
    <mergeCell ref="V125:V127"/>
    <mergeCell ref="D122:D130"/>
    <mergeCell ref="E122:G122"/>
    <mergeCell ref="H122:R122"/>
    <mergeCell ref="AC122:AC127"/>
    <mergeCell ref="E123:G123"/>
    <mergeCell ref="H123:R123"/>
    <mergeCell ref="E124:G124"/>
    <mergeCell ref="H124:R124"/>
    <mergeCell ref="E125:P125"/>
    <mergeCell ref="U137:U139"/>
    <mergeCell ref="V137:V139"/>
    <mergeCell ref="U134:U136"/>
    <mergeCell ref="V134:V136"/>
    <mergeCell ref="D131:D139"/>
    <mergeCell ref="E131:G131"/>
    <mergeCell ref="H131:R131"/>
    <mergeCell ref="AC131:AC136"/>
    <mergeCell ref="E132:G132"/>
    <mergeCell ref="H132:R132"/>
    <mergeCell ref="E133:G133"/>
    <mergeCell ref="H133:R133"/>
    <mergeCell ref="E134:P134"/>
    <mergeCell ref="U146:U148"/>
    <mergeCell ref="V146:V148"/>
    <mergeCell ref="U143:U145"/>
    <mergeCell ref="V143:V145"/>
    <mergeCell ref="D140:D148"/>
    <mergeCell ref="E140:G140"/>
    <mergeCell ref="H140:R140"/>
    <mergeCell ref="AC140:AC145"/>
    <mergeCell ref="E141:G141"/>
    <mergeCell ref="H141:R141"/>
    <mergeCell ref="E142:G142"/>
    <mergeCell ref="H142:R142"/>
    <mergeCell ref="E143:P143"/>
    <mergeCell ref="U155:U157"/>
    <mergeCell ref="V155:V157"/>
    <mergeCell ref="U152:U154"/>
    <mergeCell ref="V152:V154"/>
    <mergeCell ref="D149:D157"/>
    <mergeCell ref="E149:G149"/>
    <mergeCell ref="H149:R149"/>
    <mergeCell ref="AC149:AC154"/>
    <mergeCell ref="E150:G150"/>
    <mergeCell ref="H150:R150"/>
    <mergeCell ref="E151:G151"/>
    <mergeCell ref="H151:R151"/>
    <mergeCell ref="E152:P152"/>
    <mergeCell ref="U164:U166"/>
    <mergeCell ref="V164:V166"/>
    <mergeCell ref="U161:U163"/>
    <mergeCell ref="V161:V163"/>
    <mergeCell ref="D158:D166"/>
    <mergeCell ref="E158:G158"/>
    <mergeCell ref="H158:R158"/>
    <mergeCell ref="AC158:AC163"/>
    <mergeCell ref="E159:G159"/>
    <mergeCell ref="H159:R159"/>
    <mergeCell ref="E160:G160"/>
    <mergeCell ref="H160:R160"/>
    <mergeCell ref="E161:P161"/>
    <mergeCell ref="U173:U175"/>
    <mergeCell ref="V173:V175"/>
    <mergeCell ref="U170:U172"/>
    <mergeCell ref="V170:V172"/>
    <mergeCell ref="D167:D175"/>
    <mergeCell ref="E167:G167"/>
    <mergeCell ref="H167:R167"/>
    <mergeCell ref="AC167:AC172"/>
    <mergeCell ref="E168:G168"/>
    <mergeCell ref="H168:R168"/>
    <mergeCell ref="E169:G169"/>
    <mergeCell ref="H169:R169"/>
    <mergeCell ref="E170:P170"/>
    <mergeCell ref="U182:U184"/>
    <mergeCell ref="V182:V184"/>
    <mergeCell ref="U179:U181"/>
    <mergeCell ref="V179:V181"/>
    <mergeCell ref="D176:D184"/>
    <mergeCell ref="E176:G176"/>
    <mergeCell ref="H176:R176"/>
    <mergeCell ref="AC176:AC181"/>
    <mergeCell ref="E177:G177"/>
    <mergeCell ref="H177:R177"/>
    <mergeCell ref="E178:G178"/>
    <mergeCell ref="H178:R178"/>
    <mergeCell ref="E179:P179"/>
    <mergeCell ref="U191:U193"/>
    <mergeCell ref="V191:V193"/>
    <mergeCell ref="U188:U190"/>
    <mergeCell ref="V188:V190"/>
    <mergeCell ref="D185:D193"/>
    <mergeCell ref="E185:G185"/>
    <mergeCell ref="H185:R185"/>
    <mergeCell ref="AC185:AC190"/>
    <mergeCell ref="E186:G186"/>
    <mergeCell ref="H186:R186"/>
    <mergeCell ref="E187:G187"/>
    <mergeCell ref="H187:R187"/>
    <mergeCell ref="E188:P188"/>
    <mergeCell ref="U200:U202"/>
    <mergeCell ref="V200:V202"/>
    <mergeCell ref="U197:U199"/>
    <mergeCell ref="V197:V199"/>
    <mergeCell ref="D194:D202"/>
    <mergeCell ref="E194:G194"/>
    <mergeCell ref="H194:R194"/>
    <mergeCell ref="AC194:AC199"/>
    <mergeCell ref="E195:G195"/>
    <mergeCell ref="H195:R195"/>
    <mergeCell ref="E196:G196"/>
    <mergeCell ref="H196:R196"/>
    <mergeCell ref="E197:P197"/>
    <mergeCell ref="U209:U211"/>
    <mergeCell ref="V209:V211"/>
    <mergeCell ref="U206:U208"/>
    <mergeCell ref="V206:V208"/>
    <mergeCell ref="D203:D211"/>
    <mergeCell ref="E203:G203"/>
    <mergeCell ref="H203:R203"/>
    <mergeCell ref="AC203:AC208"/>
    <mergeCell ref="E204:G204"/>
    <mergeCell ref="H204:R204"/>
    <mergeCell ref="E205:G205"/>
    <mergeCell ref="H205:R205"/>
    <mergeCell ref="E206:P206"/>
    <mergeCell ref="U218:U220"/>
    <mergeCell ref="V218:V220"/>
    <mergeCell ref="U215:U217"/>
    <mergeCell ref="V215:V217"/>
    <mergeCell ref="D212:D220"/>
    <mergeCell ref="E212:G212"/>
    <mergeCell ref="H212:R212"/>
    <mergeCell ref="AC212:AC217"/>
    <mergeCell ref="E213:G213"/>
    <mergeCell ref="H213:R213"/>
    <mergeCell ref="E214:G214"/>
    <mergeCell ref="H214:R214"/>
    <mergeCell ref="E215:P215"/>
    <mergeCell ref="U227:U229"/>
    <mergeCell ref="V227:V229"/>
    <mergeCell ref="U224:U226"/>
    <mergeCell ref="V224:V226"/>
    <mergeCell ref="D221:D229"/>
    <mergeCell ref="E221:G221"/>
    <mergeCell ref="H221:R221"/>
    <mergeCell ref="AC221:AC226"/>
    <mergeCell ref="E222:G222"/>
    <mergeCell ref="H222:R222"/>
    <mergeCell ref="E223:G223"/>
    <mergeCell ref="H223:R223"/>
    <mergeCell ref="E224:P224"/>
    <mergeCell ref="U236:U238"/>
    <mergeCell ref="V236:V238"/>
    <mergeCell ref="U233:U235"/>
    <mergeCell ref="V233:V235"/>
    <mergeCell ref="D230:D238"/>
    <mergeCell ref="E230:G230"/>
    <mergeCell ref="H230:R230"/>
    <mergeCell ref="AC230:AC235"/>
    <mergeCell ref="E231:G231"/>
    <mergeCell ref="H231:R231"/>
    <mergeCell ref="E232:G232"/>
    <mergeCell ref="H232:R232"/>
    <mergeCell ref="E233:P233"/>
    <mergeCell ref="U245:U247"/>
    <mergeCell ref="V245:V247"/>
    <mergeCell ref="U242:U244"/>
    <mergeCell ref="V242:V244"/>
    <mergeCell ref="D239:D247"/>
    <mergeCell ref="E239:G239"/>
    <mergeCell ref="H239:R239"/>
    <mergeCell ref="AC239:AC244"/>
    <mergeCell ref="E240:G240"/>
    <mergeCell ref="H240:R240"/>
    <mergeCell ref="E241:G241"/>
    <mergeCell ref="H241:R241"/>
    <mergeCell ref="E242:P242"/>
    <mergeCell ref="U254:U256"/>
    <mergeCell ref="V254:V256"/>
    <mergeCell ref="U251:U253"/>
    <mergeCell ref="V251:V253"/>
    <mergeCell ref="D248:D256"/>
    <mergeCell ref="E248:G248"/>
    <mergeCell ref="H248:R248"/>
    <mergeCell ref="AC248:AC253"/>
    <mergeCell ref="E249:G249"/>
    <mergeCell ref="H249:R249"/>
    <mergeCell ref="E250:G250"/>
    <mergeCell ref="H250:R250"/>
    <mergeCell ref="E251:P251"/>
    <mergeCell ref="U263:U265"/>
    <mergeCell ref="V263:V265"/>
    <mergeCell ref="U260:U262"/>
    <mergeCell ref="V260:V262"/>
    <mergeCell ref="D257:D265"/>
    <mergeCell ref="E257:G257"/>
    <mergeCell ref="H257:R257"/>
    <mergeCell ref="AC257:AC262"/>
    <mergeCell ref="E258:G258"/>
    <mergeCell ref="H258:R258"/>
    <mergeCell ref="E259:G259"/>
    <mergeCell ref="H259:R259"/>
    <mergeCell ref="E260:P260"/>
    <mergeCell ref="U272:U274"/>
    <mergeCell ref="V272:V274"/>
    <mergeCell ref="U269:U271"/>
    <mergeCell ref="V269:V271"/>
    <mergeCell ref="D266:D274"/>
    <mergeCell ref="E266:G266"/>
    <mergeCell ref="H266:R266"/>
    <mergeCell ref="AC266:AC271"/>
    <mergeCell ref="E267:G267"/>
    <mergeCell ref="H267:R267"/>
    <mergeCell ref="E268:G268"/>
    <mergeCell ref="H268:R268"/>
    <mergeCell ref="E269:P269"/>
    <mergeCell ref="U281:U283"/>
    <mergeCell ref="V281:V283"/>
    <mergeCell ref="U278:U280"/>
    <mergeCell ref="V278:V280"/>
    <mergeCell ref="D275:D283"/>
    <mergeCell ref="E275:G275"/>
    <mergeCell ref="H275:R275"/>
    <mergeCell ref="AC275:AC280"/>
    <mergeCell ref="E276:G276"/>
    <mergeCell ref="H276:R276"/>
    <mergeCell ref="E277:G277"/>
    <mergeCell ref="H277:R277"/>
    <mergeCell ref="E278:P278"/>
    <mergeCell ref="U290:U292"/>
    <mergeCell ref="V290:V292"/>
    <mergeCell ref="U287:U289"/>
    <mergeCell ref="V287:V289"/>
    <mergeCell ref="D284:D292"/>
    <mergeCell ref="E284:G284"/>
    <mergeCell ref="H284:R284"/>
    <mergeCell ref="AC284:AC289"/>
    <mergeCell ref="E285:G285"/>
    <mergeCell ref="H285:R285"/>
    <mergeCell ref="E286:G286"/>
    <mergeCell ref="H286:R286"/>
    <mergeCell ref="E287:P287"/>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132F7E-A2B8-3797-DF92-0.94BE197D}" mc:Ignorable="x14ac xr xr2 xr3">
  <sheetPr>
    <tabColor theme="9" tint="-0.25"/>
  </sheetPr>
  <dimension ref="A1:BO204"/>
  <sheetViews>
    <sheetView topLeftCell="A1" showGridLines="0" zoomScale="90" workbookViewId="0">
      <selection activeCell="AR9" sqref="AR9"/>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43" style="1644" width="40.57421875" customWidth="1"/>
    <col min="44" max="44" style="1375" width="9.7109375" hidden="1" customWidth="1"/>
    <col min="45" max="45" style="1644" width="102.00390625" customWidth="1"/>
    <col min="46" max="46" style="1375" width="9.00390625" customWidth="1"/>
    <col min="47" max="47" style="1651" width="5.00390625" customWidth="1"/>
    <col min="48" max="48" style="1651" width="3.00390625" customWidth="1"/>
    <col min="49" max="52" style="1375" width="3.00390625" customWidth="1"/>
    <col min="53" max="53" style="1651" width="10.00390625" customWidth="1"/>
    <col min="54" max="54" style="1375" width="34.00390625" customWidth="1"/>
    <col min="55" max="55" style="1375" width="9.00390625" customWidth="1"/>
    <col min="56" max="56" style="745" width="8.00390625" customWidth="1"/>
    <col min="57" max="61" style="1375" width="8.00390625" customWidth="1"/>
    <col min="62" max="66" style="1641" width="8.00390625" customWidth="1"/>
    <col min="67" max="67" style="1644" width="5.421875" hidden="1" customWidth="1"/>
  </cols>
  <sheetData>
    <row s="1375" customFormat="1" customHeight="1" ht="33.75" hidden="1">
      <c r="A1" s="996"/>
      <c r="B1" s="996"/>
      <c r="C1" s="996"/>
      <c r="D1" s="996"/>
      <c r="E1" s="996"/>
      <c r="G1" s="1645"/>
      <c r="H1" s="887"/>
      <c r="L1" s="1375">
        <v>4</v>
      </c>
      <c r="M1" s="1375">
        <v>4</v>
      </c>
      <c r="N1" s="1375">
        <v>4</v>
      </c>
      <c r="O1" s="1375">
        <v>4</v>
      </c>
      <c r="P1" s="1375">
        <v>4</v>
      </c>
      <c r="Q1" s="1375">
        <v>4</v>
      </c>
      <c r="R1" s="1375">
        <v>4</v>
      </c>
      <c r="S1" s="1375">
        <v>4</v>
      </c>
      <c r="T1" s="1375">
        <v>4</v>
      </c>
      <c r="U1" s="1375">
        <v>4</v>
      </c>
      <c r="V1" s="1375">
        <v>4</v>
      </c>
      <c r="W1" s="1375">
        <v>4</v>
      </c>
      <c r="X1" s="1375">
        <v>4</v>
      </c>
      <c r="Y1" s="1375">
        <v>4</v>
      </c>
      <c r="Z1" s="1375">
        <v>4</v>
      </c>
      <c r="AA1" s="1375">
        <v>4</v>
      </c>
      <c r="AB1" s="1375">
        <v>4</v>
      </c>
      <c r="AC1" s="1375">
        <v>4</v>
      </c>
      <c r="AD1" s="1375">
        <v>4</v>
      </c>
      <c r="AE1" s="1375">
        <v>4</v>
      </c>
      <c r="AF1" s="1375">
        <v>4</v>
      </c>
      <c r="AG1" s="1375">
        <v>4</v>
      </c>
      <c r="AH1" s="1375">
        <v>4</v>
      </c>
      <c r="AI1" s="1375">
        <v>4</v>
      </c>
      <c r="AJ1" s="1375">
        <v>4</v>
      </c>
      <c r="AK1" s="1375">
        <v>4</v>
      </c>
      <c r="AL1" s="1375">
        <v>4</v>
      </c>
      <c r="AM1" s="1375">
        <v>4</v>
      </c>
      <c r="AN1" s="1375">
        <v>4</v>
      </c>
      <c r="AO1" s="1375">
        <v>4</v>
      </c>
      <c r="AP1" s="1375">
        <v>4</v>
      </c>
      <c r="AQ1" s="1375">
        <v>4</v>
      </c>
      <c r="AU1" s="1645"/>
      <c r="AV1" s="1645"/>
      <c r="BA1" s="1645"/>
      <c r="BO1" s="1375" t="s">
        <v>14</v>
      </c>
    </row>
    <row s="1375" customFormat="1" customHeight="1" ht="78.75" hidden="1">
      <c r="A2" s="996"/>
      <c r="B2" s="2062" t="s">
        <v>718</v>
      </c>
      <c r="C2" s="2062" t="s">
        <v>719</v>
      </c>
      <c r="D2" s="2061" t="s">
        <v>720</v>
      </c>
      <c r="E2" s="2065">
        <f>RIGHT(I2,LEN(I2)-SEARCH("#",SUBSTITUTE(I2,".","#",LEN(I2)-LEN(SUBSTITUTE(I2,".","")))))</f>
      </c>
      <c r="F2" s="2067">
        <f>J2</f>
        <v>0</v>
      </c>
      <c r="G2" s="1645"/>
      <c r="H2" s="2068"/>
      <c r="I2" s="2058"/>
      <c r="J2" s="549"/>
      <c r="K2" s="2028" t="s">
        <v>629</v>
      </c>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c r="AM2" s="760"/>
      <c r="AN2" s="760"/>
      <c r="AO2" s="760"/>
      <c r="AP2" s="760"/>
      <c r="AQ2" s="760"/>
      <c r="AR2" s="552"/>
      <c r="AS2" s="1534" t="s">
        <v>630</v>
      </c>
      <c r="AT2" s="552"/>
      <c r="AU2" s="1645"/>
      <c r="AV2" s="1645"/>
      <c r="BA2" s="1645"/>
      <c r="BD2" s="553"/>
      <c r="BJ2" s="1641"/>
      <c r="BK2" s="1641"/>
      <c r="BL2" s="1641"/>
      <c r="BM2" s="1641"/>
      <c r="BN2" s="1641"/>
      <c r="BO2" s="1375">
        <v>0</v>
      </c>
    </row>
    <row customHeight="1" ht="11.25" hidden="1">
      <c r="E3" s="2060" t="s">
        <v>721</v>
      </c>
      <c r="L3" s="1640">
        <f>0</f>
        <v>0</v>
      </c>
      <c r="M3" s="1640">
        <v>1</v>
      </c>
      <c r="N3" s="1644">
        <f>0</f>
        <v>0</v>
      </c>
      <c r="O3" s="1644">
        <f>0</f>
        <v>0</v>
      </c>
      <c r="P3" s="1644">
        <f>0</f>
        <v>0</v>
      </c>
      <c r="Q3" s="1644">
        <f>0</f>
        <v>0</v>
      </c>
      <c r="R3" s="1644">
        <f>0</f>
        <v>0</v>
      </c>
      <c r="S3" s="1644">
        <f>0</f>
        <v>0</v>
      </c>
      <c r="T3" s="1644">
        <f>0</f>
        <v>0</v>
      </c>
      <c r="U3" s="1644">
        <f>0</f>
        <v>0</v>
      </c>
      <c r="V3" s="1644">
        <f>0</f>
        <v>0</v>
      </c>
      <c r="W3" s="1644">
        <f>0</f>
        <v>0</v>
      </c>
      <c r="X3" s="1644">
        <f>0</f>
        <v>0</v>
      </c>
      <c r="Y3" s="1644">
        <f>0</f>
        <v>0</v>
      </c>
      <c r="Z3" s="1644">
        <f>0</f>
        <v>0</v>
      </c>
      <c r="AA3" s="1644">
        <f>0</f>
        <v>0</v>
      </c>
      <c r="AB3" s="1644">
        <f>0</f>
        <v>0</v>
      </c>
      <c r="AC3" s="1644">
        <f>0</f>
        <v>0</v>
      </c>
      <c r="AD3" s="1644">
        <f>0</f>
        <v>0</v>
      </c>
      <c r="AE3" s="1644">
        <f>0</f>
        <v>0</v>
      </c>
      <c r="AF3" s="1644">
        <f>0</f>
        <v>0</v>
      </c>
      <c r="AG3" s="1644">
        <f>0</f>
        <v>0</v>
      </c>
      <c r="AH3" s="1644">
        <f>0</f>
        <v>0</v>
      </c>
      <c r="AI3" s="1644">
        <f>0</f>
        <v>0</v>
      </c>
      <c r="AJ3" s="1644">
        <f>0</f>
        <v>0</v>
      </c>
      <c r="AK3" s="1644">
        <f>0</f>
        <v>0</v>
      </c>
      <c r="AL3" s="1644">
        <f>0</f>
        <v>0</v>
      </c>
      <c r="AM3" s="1644">
        <f>0</f>
        <v>0</v>
      </c>
      <c r="AN3" s="1644">
        <f>0</f>
        <v>0</v>
      </c>
      <c r="AO3" s="1644">
        <f>0</f>
        <v>0</v>
      </c>
      <c r="AP3" s="1644">
        <f>0</f>
        <v>0</v>
      </c>
      <c r="AQ3" s="1644">
        <f>0</f>
        <v>0</v>
      </c>
      <c r="BO3" s="1640">
        <v>0</v>
      </c>
    </row>
    <row s="1641" customFormat="1" customHeight="1" ht="11.25" hidden="1">
      <c r="A4" s="996"/>
      <c r="B4" s="996"/>
      <c r="C4" s="996"/>
      <c r="E4" s="996"/>
      <c r="F4" s="1375"/>
      <c r="G4" s="1645"/>
      <c r="H4" s="629"/>
      <c r="N4" s="1641"/>
      <c r="O4" s="1641"/>
      <c r="P4" s="1641"/>
      <c r="Q4" s="1641"/>
      <c r="R4" s="1641"/>
      <c r="S4" s="1641"/>
      <c r="T4" s="1641"/>
      <c r="U4" s="1641"/>
      <c r="V4" s="1641"/>
      <c r="W4" s="1641"/>
      <c r="X4" s="1641"/>
      <c r="Y4" s="1641"/>
      <c r="Z4" s="1641"/>
      <c r="AA4" s="1641"/>
      <c r="AB4" s="1641"/>
      <c r="AC4" s="1641"/>
      <c r="AD4" s="1641"/>
      <c r="AE4" s="1641"/>
      <c r="AF4" s="1641"/>
      <c r="AG4" s="1641"/>
      <c r="AH4" s="1641"/>
      <c r="AI4" s="1641"/>
      <c r="AJ4" s="1641"/>
      <c r="AK4" s="1641"/>
      <c r="AL4" s="1641"/>
      <c r="AM4" s="1641"/>
      <c r="AN4" s="1641"/>
      <c r="AO4" s="1641"/>
      <c r="AP4" s="1641"/>
      <c r="AQ4" s="1641"/>
      <c r="AR4" s="1375"/>
      <c r="AS4" s="1641">
        <v>4</v>
      </c>
      <c r="AT4" s="1375"/>
      <c r="AU4" s="1645"/>
      <c r="AV4" s="1645"/>
      <c r="AW4" s="1375"/>
      <c r="AX4" s="1375"/>
      <c r="AY4" s="1375"/>
      <c r="AZ4" s="1375"/>
      <c r="BA4" s="1645"/>
      <c r="BB4" s="1375"/>
      <c r="BC4" s="1375"/>
      <c r="BD4" s="553"/>
      <c r="BE4" s="1375"/>
      <c r="BF4" s="1375"/>
      <c r="BG4" s="1375"/>
      <c r="BH4" s="1375"/>
      <c r="BI4" s="1375"/>
      <c r="BO4" s="1641">
        <v>0</v>
      </c>
    </row>
    <row customHeight="1" ht="11.549999999999999">
      <c r="N5" s="1644"/>
      <c r="O5" s="1644"/>
      <c r="P5" s="1644"/>
      <c r="Q5" s="1644"/>
      <c r="R5" s="1644"/>
      <c r="S5" s="1644"/>
      <c r="T5" s="1644"/>
      <c r="U5" s="1644"/>
      <c r="V5" s="1644"/>
      <c r="W5" s="1644"/>
      <c r="X5" s="1644"/>
      <c r="Y5" s="1644"/>
      <c r="Z5" s="1644"/>
      <c r="AA5" s="1644"/>
      <c r="AB5" s="1644"/>
      <c r="AC5" s="1644"/>
      <c r="AD5" s="1644"/>
      <c r="AE5" s="1644"/>
      <c r="AF5" s="1644"/>
      <c r="AG5" s="1644"/>
      <c r="AH5" s="1644"/>
      <c r="AI5" s="1644"/>
      <c r="AJ5" s="1644"/>
      <c r="AK5" s="1644"/>
      <c r="AL5" s="1644"/>
      <c r="AM5" s="1644"/>
      <c r="AN5" s="1644"/>
      <c r="AO5" s="1644"/>
      <c r="AP5" s="1644"/>
      <c r="AQ5" s="1644"/>
      <c r="BO5" s="1640">
        <v>11</v>
      </c>
    </row>
    <row customHeight="1" ht="57.75">
      <c r="I6" s="2316" t="s">
        <v>722</v>
      </c>
      <c r="J6" s="2316"/>
      <c r="K6" s="2316"/>
      <c r="L6" s="2316"/>
      <c r="M6" s="2316"/>
      <c r="N6" s="2316"/>
      <c r="O6" s="2316"/>
      <c r="P6" s="2316"/>
      <c r="Q6" s="2316"/>
      <c r="R6" s="2316"/>
      <c r="S6" s="2316"/>
      <c r="T6" s="2316"/>
      <c r="U6" s="2316"/>
      <c r="V6" s="2316"/>
      <c r="W6" s="2316"/>
      <c r="X6" s="2316"/>
      <c r="Y6" s="2316"/>
      <c r="Z6" s="2316"/>
      <c r="AA6" s="2316"/>
      <c r="AB6" s="2316"/>
      <c r="AC6" s="2316"/>
      <c r="AD6" s="2316"/>
      <c r="AE6" s="2316"/>
      <c r="AF6" s="2316"/>
      <c r="AG6" s="2316"/>
      <c r="AH6" s="2316"/>
      <c r="AI6" s="2316"/>
      <c r="AJ6" s="2316"/>
      <c r="AK6" s="2316"/>
      <c r="AL6" s="2316"/>
      <c r="AM6" s="2316"/>
      <c r="AN6" s="2316"/>
      <c r="AO6" s="2316"/>
      <c r="AP6" s="2316"/>
      <c r="AQ6" s="2316"/>
      <c r="AS6" s="565"/>
      <c r="BO6" s="1640">
        <v>55</v>
      </c>
    </row>
    <row customHeight="1" ht="25.2">
      <c r="I7" s="2258" t="str">
        <f>IF(org=0,"Не определено",org)</f>
        <v>ООО "СамРЭК-Тепло Жигулевск"</v>
      </c>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c r="AH7" s="2258"/>
      <c r="AI7" s="2258"/>
      <c r="AJ7" s="2258"/>
      <c r="AK7" s="2258"/>
      <c r="AL7" s="2258"/>
      <c r="AM7" s="2258"/>
      <c r="AN7" s="2258"/>
      <c r="AO7" s="2258"/>
      <c r="AP7" s="2258"/>
      <c r="AQ7" s="2258"/>
      <c r="BO7" s="1640">
        <v>24</v>
      </c>
    </row>
    <row customHeight="1" ht="11.549999999999999">
      <c r="I8" s="1144"/>
      <c r="J8" s="1144"/>
      <c r="K8" s="1144"/>
      <c r="L8" s="1144"/>
      <c r="M8" s="1144"/>
      <c r="N8" s="1145" t="s">
        <v>22</v>
      </c>
      <c r="O8" s="1145" t="s">
        <v>22</v>
      </c>
      <c r="P8" s="1145" t="s">
        <v>22</v>
      </c>
      <c r="Q8" s="1145" t="s">
        <v>22</v>
      </c>
      <c r="R8" s="1145" t="s">
        <v>22</v>
      </c>
      <c r="S8" s="1145" t="s">
        <v>22</v>
      </c>
      <c r="T8" s="1145" t="s">
        <v>22</v>
      </c>
      <c r="U8" s="1145" t="s">
        <v>22</v>
      </c>
      <c r="V8" s="1145" t="s">
        <v>22</v>
      </c>
      <c r="W8" s="1145" t="s">
        <v>22</v>
      </c>
      <c r="X8" s="1145" t="s">
        <v>22</v>
      </c>
      <c r="Y8" s="1145" t="s">
        <v>22</v>
      </c>
      <c r="Z8" s="1145" t="s">
        <v>22</v>
      </c>
      <c r="AA8" s="1145" t="s">
        <v>22</v>
      </c>
      <c r="AB8" s="1145" t="s">
        <v>22</v>
      </c>
      <c r="AC8" s="1145" t="s">
        <v>22</v>
      </c>
      <c r="AD8" s="1145" t="s">
        <v>22</v>
      </c>
      <c r="AE8" s="1145" t="s">
        <v>22</v>
      </c>
      <c r="AF8" s="1145" t="s">
        <v>22</v>
      </c>
      <c r="AG8" s="1145" t="s">
        <v>22</v>
      </c>
      <c r="AH8" s="1145" t="s">
        <v>22</v>
      </c>
      <c r="AI8" s="1145" t="s">
        <v>22</v>
      </c>
      <c r="AJ8" s="1145" t="s">
        <v>22</v>
      </c>
      <c r="AK8" s="1145" t="s">
        <v>22</v>
      </c>
      <c r="AL8" s="1145" t="s">
        <v>22</v>
      </c>
      <c r="AM8" s="1145" t="s">
        <v>22</v>
      </c>
      <c r="AN8" s="1145" t="s">
        <v>22</v>
      </c>
      <c r="AO8" s="1145" t="s">
        <v>22</v>
      </c>
      <c r="AP8" s="1145" t="s">
        <v>22</v>
      </c>
      <c r="AQ8" s="1145" t="s">
        <v>22</v>
      </c>
      <c r="BO8" s="1640">
        <v>11</v>
      </c>
    </row>
    <row s="1651" customFormat="1" customHeight="1" ht="30" hidden="1">
      <c r="A9" s="1176"/>
      <c r="B9" s="1176"/>
      <c r="C9" s="1176"/>
      <c r="E9" s="1176"/>
      <c r="H9" s="1651"/>
      <c r="L9" s="898"/>
      <c r="M9" s="898" t="s">
        <v>118</v>
      </c>
      <c r="N9" s="898" t="s">
        <v>123</v>
      </c>
      <c r="O9" s="898" t="s">
        <v>125</v>
      </c>
      <c r="P9" s="898" t="s">
        <v>127</v>
      </c>
      <c r="Q9" s="898" t="s">
        <v>129</v>
      </c>
      <c r="R9" s="898" t="s">
        <v>131</v>
      </c>
      <c r="S9" s="898" t="s">
        <v>133</v>
      </c>
      <c r="T9" s="898" t="s">
        <v>135</v>
      </c>
      <c r="U9" s="898" t="s">
        <v>138</v>
      </c>
      <c r="V9" s="898" t="s">
        <v>141</v>
      </c>
      <c r="W9" s="898" t="s">
        <v>144</v>
      </c>
      <c r="X9" s="898" t="s">
        <v>147</v>
      </c>
      <c r="Y9" s="898" t="s">
        <v>150</v>
      </c>
      <c r="Z9" s="898" t="s">
        <v>153</v>
      </c>
      <c r="AA9" s="898" t="s">
        <v>156</v>
      </c>
      <c r="AB9" s="898" t="s">
        <v>159</v>
      </c>
      <c r="AC9" s="898" t="s">
        <v>162</v>
      </c>
      <c r="AD9" s="898" t="s">
        <v>165</v>
      </c>
      <c r="AE9" s="898" t="s">
        <v>168</v>
      </c>
      <c r="AF9" s="898" t="s">
        <v>171</v>
      </c>
      <c r="AG9" s="898" t="s">
        <v>174</v>
      </c>
      <c r="AH9" s="898" t="s">
        <v>177</v>
      </c>
      <c r="AI9" s="898" t="s">
        <v>180</v>
      </c>
      <c r="AJ9" s="898" t="s">
        <v>183</v>
      </c>
      <c r="AK9" s="898" t="s">
        <v>186</v>
      </c>
      <c r="AL9" s="898" t="s">
        <v>189</v>
      </c>
      <c r="AM9" s="898" t="s">
        <v>192</v>
      </c>
      <c r="AN9" s="898" t="s">
        <v>195</v>
      </c>
      <c r="AO9" s="898" t="s">
        <v>198</v>
      </c>
      <c r="AP9" s="898" t="s">
        <v>200</v>
      </c>
      <c r="AQ9" s="898" t="s">
        <v>201</v>
      </c>
      <c r="BO9" s="1645">
        <v>1</v>
      </c>
    </row>
    <row customHeight="1" ht="11.549999999999999">
      <c r="E10" s="2059" t="s">
        <v>723</v>
      </c>
      <c r="I10" s="720"/>
      <c r="J10" s="2376" t="s">
        <v>105</v>
      </c>
      <c r="K10" s="2377"/>
      <c r="L10" s="2038" t="str">
        <f>IF(L9="","",INDEX(DIFFERENTIATION_UNMERGE_VD,MATCH(L9,DIFFERENTIATION_ID_DIFF,0)))</f>
        <v/>
      </c>
      <c r="M10" s="2038" t="str">
        <f>IF(M9="","",INDEX(DIFFERENTIATION_UNMERGE_VD,MATCH(M9,DIFFERENTIATION_ID_DIFF,0)))</f>
        <v>Производство тепловой энергии. Некомбинированная выработка</v>
      </c>
      <c r="N10" s="2402" t="str">
        <f>IF(N9="","",INDEX(DIFFERENTIATION_UNMERGE_VD,MATCH(N9,DIFFERENTIATION_ID_DIFF,0)))</f>
        <v>Производство тепловой энергии. Некомбинированная выработка</v>
      </c>
      <c r="O10" s="2402" t="str">
        <f>IF(O9="","",INDEX(DIFFERENTIATION_UNMERGE_VD,MATCH(O9,DIFFERENTIATION_ID_DIFF,0)))</f>
        <v>Производство тепловой энергии. Некомбинированная выработка</v>
      </c>
      <c r="P10" s="2402" t="str">
        <f>IF(P9="","",INDEX(DIFFERENTIATION_UNMERGE_VD,MATCH(P9,DIFFERENTIATION_ID_DIFF,0)))</f>
        <v>Производство тепловой энергии. Некомбинированная выработка</v>
      </c>
      <c r="Q10" s="2402" t="str">
        <f>IF(Q9="","",INDEX(DIFFERENTIATION_UNMERGE_VD,MATCH(Q9,DIFFERENTIATION_ID_DIFF,0)))</f>
        <v>Производство тепловой энергии. Некомбинированная выработка</v>
      </c>
      <c r="R10" s="2402" t="str">
        <f>IF(R9="","",INDEX(DIFFERENTIATION_UNMERGE_VD,MATCH(R9,DIFFERENTIATION_ID_DIFF,0)))</f>
        <v>Производство тепловой энергии. Некомбинированная выработка</v>
      </c>
      <c r="S10" s="2402" t="str">
        <f>IF(S9="","",INDEX(DIFFERENTIATION_UNMERGE_VD,MATCH(S9,DIFFERENTIATION_ID_DIFF,0)))</f>
        <v>Производство тепловой энергии. Некомбинированная выработка</v>
      </c>
      <c r="T10" s="2402" t="str">
        <f>IF(T9="","",INDEX(DIFFERENTIATION_UNMERGE_VD,MATCH(T9,DIFFERENTIATION_ID_DIFF,0)))</f>
        <v>Производство тепловой энергии. Некомбинированная выработка</v>
      </c>
      <c r="U10" s="2402" t="str">
        <f>IF(U9="","",INDEX(DIFFERENTIATION_UNMERGE_VD,MATCH(U9,DIFFERENTIATION_ID_DIFF,0)))</f>
        <v>Производство тепловой энергии. Некомбинированная выработка</v>
      </c>
      <c r="V10" s="2402" t="str">
        <f>IF(V9="","",INDEX(DIFFERENTIATION_UNMERGE_VD,MATCH(V9,DIFFERENTIATION_ID_DIFF,0)))</f>
        <v>Производство тепловой энергии. Некомбинированная выработка</v>
      </c>
      <c r="W10" s="2402" t="str">
        <f>IF(W9="","",INDEX(DIFFERENTIATION_UNMERGE_VD,MATCH(W9,DIFFERENTIATION_ID_DIFF,0)))</f>
        <v>Производство тепловой энергии. Некомбинированная выработка</v>
      </c>
      <c r="X10" s="2402" t="str">
        <f>IF(X9="","",INDEX(DIFFERENTIATION_UNMERGE_VD,MATCH(X9,DIFFERENTIATION_ID_DIFF,0)))</f>
        <v>Производство тепловой энергии. Некомбинированная выработка</v>
      </c>
      <c r="Y10" s="2402" t="str">
        <f>IF(Y9="","",INDEX(DIFFERENTIATION_UNMERGE_VD,MATCH(Y9,DIFFERENTIATION_ID_DIFF,0)))</f>
        <v>Производство тепловой энергии. Некомбинированная выработка</v>
      </c>
      <c r="Z10" s="2402" t="str">
        <f>IF(Z9="","",INDEX(DIFFERENTIATION_UNMERGE_VD,MATCH(Z9,DIFFERENTIATION_ID_DIFF,0)))</f>
        <v>Производство тепловой энергии. Некомбинированная выработка</v>
      </c>
      <c r="AA10" s="2402" t="str">
        <f>IF(AA9="","",INDEX(DIFFERENTIATION_UNMERGE_VD,MATCH(AA9,DIFFERENTIATION_ID_DIFF,0)))</f>
        <v>Производство тепловой энергии. Некомбинированная выработка</v>
      </c>
      <c r="AB10" s="2402" t="str">
        <f>IF(AB9="","",INDEX(DIFFERENTIATION_UNMERGE_VD,MATCH(AB9,DIFFERENTIATION_ID_DIFF,0)))</f>
        <v>Производство тепловой энергии. Некомбинированная выработка</v>
      </c>
      <c r="AC10" s="2402" t="str">
        <f>IF(AC9="","",INDEX(DIFFERENTIATION_UNMERGE_VD,MATCH(AC9,DIFFERENTIATION_ID_DIFF,0)))</f>
        <v>Производство тепловой энергии. Некомбинированная выработка</v>
      </c>
      <c r="AD10" s="2402" t="str">
        <f>IF(AD9="","",INDEX(DIFFERENTIATION_UNMERGE_VD,MATCH(AD9,DIFFERENTIATION_ID_DIFF,0)))</f>
        <v>Производство тепловой энергии. Некомбинированная выработка</v>
      </c>
      <c r="AE10" s="2402" t="str">
        <f>IF(AE9="","",INDEX(DIFFERENTIATION_UNMERGE_VD,MATCH(AE9,DIFFERENTIATION_ID_DIFF,0)))</f>
        <v>Производство тепловой энергии. Некомбинированная выработка</v>
      </c>
      <c r="AF10" s="2402" t="str">
        <f>IF(AF9="","",INDEX(DIFFERENTIATION_UNMERGE_VD,MATCH(AF9,DIFFERENTIATION_ID_DIFF,0)))</f>
        <v>Производство тепловой энергии. Некомбинированная выработка</v>
      </c>
      <c r="AG10" s="2402" t="str">
        <f>IF(AG9="","",INDEX(DIFFERENTIATION_UNMERGE_VD,MATCH(AG9,DIFFERENTIATION_ID_DIFF,0)))</f>
        <v>Производство тепловой энергии. Некомбинированная выработка</v>
      </c>
      <c r="AH10" s="2402" t="str">
        <f>IF(AH9="","",INDEX(DIFFERENTIATION_UNMERGE_VD,MATCH(AH9,DIFFERENTIATION_ID_DIFF,0)))</f>
        <v>Производство тепловой энергии. Некомбинированная выработка</v>
      </c>
      <c r="AI10" s="2402" t="str">
        <f>IF(AI9="","",INDEX(DIFFERENTIATION_UNMERGE_VD,MATCH(AI9,DIFFERENTIATION_ID_DIFF,0)))</f>
        <v>Производство тепловой энергии. Некомбинированная выработка</v>
      </c>
      <c r="AJ10" s="2402" t="str">
        <f>IF(AJ9="","",INDEX(DIFFERENTIATION_UNMERGE_VD,MATCH(AJ9,DIFFERENTIATION_ID_DIFF,0)))</f>
        <v>Производство тепловой энергии. Некомбинированная выработка</v>
      </c>
      <c r="AK10" s="2402" t="str">
        <f>IF(AK9="","",INDEX(DIFFERENTIATION_UNMERGE_VD,MATCH(AK9,DIFFERENTIATION_ID_DIFF,0)))</f>
        <v>Производство тепловой энергии. Некомбинированная выработка</v>
      </c>
      <c r="AL10" s="2402" t="str">
        <f>IF(AL9="","",INDEX(DIFFERENTIATION_UNMERGE_VD,MATCH(AL9,DIFFERENTIATION_ID_DIFF,0)))</f>
        <v>Производство тепловой энергии. Некомбинированная выработка</v>
      </c>
      <c r="AM10" s="2402" t="str">
        <f>IF(AM9="","",INDEX(DIFFERENTIATION_UNMERGE_VD,MATCH(AM9,DIFFERENTIATION_ID_DIFF,0)))</f>
        <v>Производство тепловой энергии. Некомбинированная выработка</v>
      </c>
      <c r="AN10" s="2402" t="str">
        <f>IF(AN9="","",INDEX(DIFFERENTIATION_UNMERGE_VD,MATCH(AN9,DIFFERENTIATION_ID_DIFF,0)))</f>
        <v>Производство тепловой энергии. Некомбинированная выработка</v>
      </c>
      <c r="AO10" s="2402" t="str">
        <f>IF(AO9="","",INDEX(DIFFERENTIATION_UNMERGE_VD,MATCH(AO9,DIFFERENTIATION_ID_DIFF,0)))</f>
        <v>Производство. Теплоноситель</v>
      </c>
      <c r="AP10" s="2402" t="str">
        <f>IF(AP9="","",INDEX(DIFFERENTIATION_UNMERGE_VD,MATCH(AP9,DIFFERENTIATION_ID_DIFF,0)))</f>
        <v>Производство. Теплоноситель</v>
      </c>
      <c r="AQ10" s="2402" t="str">
        <f>IF(AQ9="","",INDEX(DIFFERENTIATION_UNMERGE_VD,MATCH(AQ9,DIFFERENTIATION_ID_DIFF,0)))</f>
        <v>Производство. Теплоноситель</v>
      </c>
      <c r="AS10" s="2136" t="s">
        <v>374</v>
      </c>
      <c r="BO10" s="1640">
        <v>11</v>
      </c>
    </row>
    <row customHeight="1" ht="11.549999999999999">
      <c r="E11" s="2059" t="s">
        <v>724</v>
      </c>
      <c r="I11" s="720"/>
      <c r="J11" s="2376" t="s">
        <v>637</v>
      </c>
      <c r="K11" s="2377"/>
      <c r="L11" s="2038" t="str">
        <f>IF(L9="","",INDEX(DIFFERENTIATION_UNMERGE_AREA,MATCH(L9,DIFFERENTIATION_ID_DIFF,0)))</f>
        <v/>
      </c>
      <c r="M11" s="2038" t="str">
        <f>IF(M9="","",INDEX(DIFFERENTIATION_UNMERGE_AREA,MATCH(M9,DIFFERENTIATION_ID_DIFF,0)))</f>
        <v>Территория 1</v>
      </c>
      <c r="N11" s="2402" t="str">
        <f>IF(N9="","",INDEX(DIFFERENTIATION_UNMERGE_AREA,MATCH(N9,DIFFERENTIATION_ID_DIFF,0)))</f>
        <v>Территория 1</v>
      </c>
      <c r="O11" s="2402" t="str">
        <f>IF(O9="","",INDEX(DIFFERENTIATION_UNMERGE_AREA,MATCH(O9,DIFFERENTIATION_ID_DIFF,0)))</f>
        <v>Территория 1</v>
      </c>
      <c r="P11" s="2402" t="str">
        <f>IF(P9="","",INDEX(DIFFERENTIATION_UNMERGE_AREA,MATCH(P9,DIFFERENTIATION_ID_DIFF,0)))</f>
        <v>Территория 1</v>
      </c>
      <c r="Q11" s="2402" t="str">
        <f>IF(Q9="","",INDEX(DIFFERENTIATION_UNMERGE_AREA,MATCH(Q9,DIFFERENTIATION_ID_DIFF,0)))</f>
        <v>Территория 1</v>
      </c>
      <c r="R11" s="2402" t="str">
        <f>IF(R9="","",INDEX(DIFFERENTIATION_UNMERGE_AREA,MATCH(R9,DIFFERENTIATION_ID_DIFF,0)))</f>
        <v>Территория 1</v>
      </c>
      <c r="S11" s="2402" t="str">
        <f>IF(S9="","",INDEX(DIFFERENTIATION_UNMERGE_AREA,MATCH(S9,DIFFERENTIATION_ID_DIFF,0)))</f>
        <v>Территория 1</v>
      </c>
      <c r="T11" s="2402" t="str">
        <f>IF(T9="","",INDEX(DIFFERENTIATION_UNMERGE_AREA,MATCH(T9,DIFFERENTIATION_ID_DIFF,0)))</f>
        <v>Территория 1</v>
      </c>
      <c r="U11" s="2402" t="str">
        <f>IF(U9="","",INDEX(DIFFERENTIATION_UNMERGE_AREA,MATCH(U9,DIFFERENTIATION_ID_DIFF,0)))</f>
        <v>Территория 1</v>
      </c>
      <c r="V11" s="2402" t="str">
        <f>IF(V9="","",INDEX(DIFFERENTIATION_UNMERGE_AREA,MATCH(V9,DIFFERENTIATION_ID_DIFF,0)))</f>
        <v>Территория 1</v>
      </c>
      <c r="W11" s="2402" t="str">
        <f>IF(W9="","",INDEX(DIFFERENTIATION_UNMERGE_AREA,MATCH(W9,DIFFERENTIATION_ID_DIFF,0)))</f>
        <v>Территория 1</v>
      </c>
      <c r="X11" s="2402" t="str">
        <f>IF(X9="","",INDEX(DIFFERENTIATION_UNMERGE_AREA,MATCH(X9,DIFFERENTIATION_ID_DIFF,0)))</f>
        <v>Территория 1</v>
      </c>
      <c r="Y11" s="2402" t="str">
        <f>IF(Y9="","",INDEX(DIFFERENTIATION_UNMERGE_AREA,MATCH(Y9,DIFFERENTIATION_ID_DIFF,0)))</f>
        <v>Территория 1</v>
      </c>
      <c r="Z11" s="2402" t="str">
        <f>IF(Z9="","",INDEX(DIFFERENTIATION_UNMERGE_AREA,MATCH(Z9,DIFFERENTIATION_ID_DIFF,0)))</f>
        <v>Территория 1</v>
      </c>
      <c r="AA11" s="2402" t="str">
        <f>IF(AA9="","",INDEX(DIFFERENTIATION_UNMERGE_AREA,MATCH(AA9,DIFFERENTIATION_ID_DIFF,0)))</f>
        <v>Территория 1</v>
      </c>
      <c r="AB11" s="2402" t="str">
        <f>IF(AB9="","",INDEX(DIFFERENTIATION_UNMERGE_AREA,MATCH(AB9,DIFFERENTIATION_ID_DIFF,0)))</f>
        <v>Территория 1</v>
      </c>
      <c r="AC11" s="2402" t="str">
        <f>IF(AC9="","",INDEX(DIFFERENTIATION_UNMERGE_AREA,MATCH(AC9,DIFFERENTIATION_ID_DIFF,0)))</f>
        <v>Территория 1</v>
      </c>
      <c r="AD11" s="2402" t="str">
        <f>IF(AD9="","",INDEX(DIFFERENTIATION_UNMERGE_AREA,MATCH(AD9,DIFFERENTIATION_ID_DIFF,0)))</f>
        <v>Территория 1</v>
      </c>
      <c r="AE11" s="2402" t="str">
        <f>IF(AE9="","",INDEX(DIFFERENTIATION_UNMERGE_AREA,MATCH(AE9,DIFFERENTIATION_ID_DIFF,0)))</f>
        <v>Территория 1</v>
      </c>
      <c r="AF11" s="2402" t="str">
        <f>IF(AF9="","",INDEX(DIFFERENTIATION_UNMERGE_AREA,MATCH(AF9,DIFFERENTIATION_ID_DIFF,0)))</f>
        <v>Территория 1</v>
      </c>
      <c r="AG11" s="2402" t="str">
        <f>IF(AG9="","",INDEX(DIFFERENTIATION_UNMERGE_AREA,MATCH(AG9,DIFFERENTIATION_ID_DIFF,0)))</f>
        <v>Территория 1</v>
      </c>
      <c r="AH11" s="2402" t="str">
        <f>IF(AH9="","",INDEX(DIFFERENTIATION_UNMERGE_AREA,MATCH(AH9,DIFFERENTIATION_ID_DIFF,0)))</f>
        <v>Территория 1</v>
      </c>
      <c r="AI11" s="2402" t="str">
        <f>IF(AI9="","",INDEX(DIFFERENTIATION_UNMERGE_AREA,MATCH(AI9,DIFFERENTIATION_ID_DIFF,0)))</f>
        <v>Территория 1</v>
      </c>
      <c r="AJ11" s="2402" t="str">
        <f>IF(AJ9="","",INDEX(DIFFERENTIATION_UNMERGE_AREA,MATCH(AJ9,DIFFERENTIATION_ID_DIFF,0)))</f>
        <v>Территория 1</v>
      </c>
      <c r="AK11" s="2402" t="str">
        <f>IF(AK9="","",INDEX(DIFFERENTIATION_UNMERGE_AREA,MATCH(AK9,DIFFERENTIATION_ID_DIFF,0)))</f>
        <v>Территория 1</v>
      </c>
      <c r="AL11" s="2402" t="str">
        <f>IF(AL9="","",INDEX(DIFFERENTIATION_UNMERGE_AREA,MATCH(AL9,DIFFERENTIATION_ID_DIFF,0)))</f>
        <v>Территория 1</v>
      </c>
      <c r="AM11" s="2402" t="str">
        <f>IF(AM9="","",INDEX(DIFFERENTIATION_UNMERGE_AREA,MATCH(AM9,DIFFERENTIATION_ID_DIFF,0)))</f>
        <v>Территория 1</v>
      </c>
      <c r="AN11" s="2402" t="str">
        <f>IF(AN9="","",INDEX(DIFFERENTIATION_UNMERGE_AREA,MATCH(AN9,DIFFERENTIATION_ID_DIFF,0)))</f>
        <v>Территория 1</v>
      </c>
      <c r="AO11" s="2402" t="str">
        <f>IF(AO9="","",INDEX(DIFFERENTIATION_UNMERGE_AREA,MATCH(AO9,DIFFERENTIATION_ID_DIFF,0)))</f>
        <v>Территория 1</v>
      </c>
      <c r="AP11" s="2402" t="str">
        <f>IF(AP9="","",INDEX(DIFFERENTIATION_UNMERGE_AREA,MATCH(AP9,DIFFERENTIATION_ID_DIFF,0)))</f>
        <v>Территория 1</v>
      </c>
      <c r="AQ11" s="2402" t="str">
        <f>IF(AQ9="","",INDEX(DIFFERENTIATION_UNMERGE_AREA,MATCH(AQ9,DIFFERENTIATION_ID_DIFF,0)))</f>
        <v>Территория 1</v>
      </c>
      <c r="AS11" s="2136"/>
      <c r="BO11" s="1640">
        <v>11</v>
      </c>
    </row>
    <row customHeight="1" ht="11.549999999999999">
      <c r="E12" s="2059" t="s">
        <v>725</v>
      </c>
      <c r="I12" s="1671"/>
      <c r="J12" s="2376" t="s">
        <v>638</v>
      </c>
      <c r="K12" s="2377"/>
      <c r="L12" s="2038" t="str">
        <f>IF(L9="","",INDEX(DIFFERENTIATION_UNMERGE_SYSTEM,MATCH(L9,DIFFERENTIATION_ID_DIFF,0)))</f>
        <v/>
      </c>
      <c r="M12" s="2038" t="str">
        <f>IF(M9="","",INDEX(DIFFERENTIATION_UNMERGE_SYSTEM,MATCH(M9,DIFFERENTIATION_ID_DIFF,0)))</f>
        <v>Котельная №1 по ул.Ново-Самарская, д.12</v>
      </c>
      <c r="N12" s="2402" t="str">
        <f>IF(N9="","",INDEX(DIFFERENTIATION_UNMERGE_SYSTEM,MATCH(N9,DIFFERENTIATION_ID_DIFF,0)))</f>
        <v>Котельная №2,  ул.Пирогова около д.4</v>
      </c>
      <c r="O12" s="2402" t="str">
        <f>IF(O9="","",INDEX(DIFFERENTIATION_UNMERGE_SYSTEM,MATCH(O9,DIFFERENTIATION_ID_DIFF,0)))</f>
        <v>Котельная №3, ул.Комсомольская около д.1 по ул.Ленина</v>
      </c>
      <c r="P12" s="2402" t="str">
        <f>IF(P9="","",INDEX(DIFFERENTIATION_UNMERGE_SYSTEM,MATCH(P9,DIFFERENTIATION_ID_DIFF,0)))</f>
        <v>Тепловой центр №1 ул.Вокзальная ок д.№8</v>
      </c>
      <c r="Q12" s="2402" t="str">
        <f>IF(Q9="","",INDEX(DIFFERENTIATION_UNMERGE_SYSTEM,MATCH(Q9,DIFFERENTIATION_ID_DIFF,0)))</f>
        <v>Котельная №5, Александр. Поле, около д.30 по ул.Советская </v>
      </c>
      <c r="R12" s="2402" t="str">
        <f>IF(R9="","",INDEX(DIFFERENTIATION_UNMERGE_SYSTEM,MATCH(R9,DIFFERENTIATION_ID_DIFF,0)))</f>
        <v>Котельная №6, ул.Пушкина </v>
      </c>
      <c r="S12" s="2402" t="str">
        <f>IF(S9="","",INDEX(DIFFERENTIATION_UNMERGE_SYSTEM,MATCH(S9,DIFFERENTIATION_ID_DIFF,0)))</f>
        <v>Тепловой центр №2 ул.Вокзальная ок д.№20</v>
      </c>
      <c r="T12" s="2402" t="str">
        <f>IF(T9="","",INDEX(DIFFERENTIATION_UNMERGE_SYSTEM,MATCH(T9,DIFFERENTIATION_ID_DIFF,0)))</f>
        <v>Котельная №8, ул.Мира</v>
      </c>
      <c r="U12" s="2402" t="str">
        <f>IF(U9="","",INDEX(DIFFERENTIATION_UNMERGE_SYSTEM,MATCH(U9,DIFFERENTIATION_ID_DIFF,0)))</f>
        <v>Котельная №9, ул.Гоголя</v>
      </c>
      <c r="V12" s="2402" t="str">
        <f>IF(V9="","",INDEX(DIFFERENTIATION_UNMERGE_SYSTEM,MATCH(V9,DIFFERENTIATION_ID_DIFF,0)))</f>
        <v>Котельная №10, ул.Гоголя</v>
      </c>
      <c r="W12" s="2402" t="str">
        <f>IF(W9="","",INDEX(DIFFERENTIATION_UNMERGE_SYSTEM,MATCH(W9,DIFFERENTIATION_ID_DIFF,0)))</f>
        <v>Котельная №12а, ул.Мира</v>
      </c>
      <c r="X12" s="2402" t="str">
        <f>IF(X9="","",INDEX(DIFFERENTIATION_UNMERGE_SYSTEM,MATCH(X9,DIFFERENTIATION_ID_DIFF,0)))</f>
        <v>Котельная №13, ул.Морквашинская</v>
      </c>
      <c r="Y12" s="2402" t="str">
        <f>IF(Y9="","",INDEX(DIFFERENTIATION_UNMERGE_SYSTEM,MATCH(Y9,DIFFERENTIATION_ID_DIFF,0)))</f>
        <v>ЦТП-1 ул.Морквашинская ок.д№7</v>
      </c>
      <c r="Z12" s="2402" t="str">
        <f>IF(Z9="","",INDEX(DIFFERENTIATION_UNMERGE_SYSTEM,MATCH(Z9,DIFFERENTIATION_ID_DIFF,0)))</f>
        <v>ЦТП-2, В-1,ок.д.№10</v>
      </c>
      <c r="AA12" s="2402" t="str">
        <f>IF(AA9="","",INDEX(DIFFERENTIATION_UNMERGE_SYSTEM,MATCH(AA9,DIFFERENTIATION_ID_DIFF,0)))</f>
        <v>ЦТП-9, ул.Пролетарская д.23/ул.Транспортная д.10</v>
      </c>
      <c r="AB12" s="2402" t="str">
        <f>IF(AB9="","",INDEX(DIFFERENTIATION_UNMERGE_SYSTEM,MATCH(AB9,DIFFERENTIATION_ID_DIFF,0)))</f>
        <v>ПНС№1-  Пролет, 5</v>
      </c>
      <c r="AC12" s="2402" t="str">
        <f>IF(AC9="","",INDEX(DIFFERENTIATION_UNMERGE_SYSTEM,MATCH(AC9,DIFFERENTIATION_ID_DIFF,0)))</f>
        <v>ПНС№2, ул.Репина,3</v>
      </c>
      <c r="AD12" s="2402" t="str">
        <f>IF(AD9="","",INDEX(DIFFERENTIATION_UNMERGE_SYSTEM,MATCH(AD9,DIFFERENTIATION_ID_DIFF,0)))</f>
        <v>Котельная №14, ул.Радиозаводская</v>
      </c>
      <c r="AE12" s="2402" t="str">
        <f>IF(AE9="","",INDEX(DIFFERENTIATION_UNMERGE_SYSTEM,MATCH(AE9,DIFFERENTIATION_ID_DIFF,0)))</f>
        <v>ЦТП-3, ул.Радиозаводская,ок.д.№6</v>
      </c>
      <c r="AF12" s="2402" t="str">
        <f>IF(AF9="","",INDEX(DIFFERENTIATION_UNMERGE_SYSTEM,MATCH(AF9,DIFFERENTIATION_ID_DIFF,0)))</f>
        <v>Котельная №17а с.Зольное , ул.Первомайская.</v>
      </c>
      <c r="AG12" s="2402" t="str">
        <f>IF(AG9="","",INDEX(DIFFERENTIATION_UNMERGE_SYSTEM,MATCH(AG9,DIFFERENTIATION_ID_DIFF,0)))</f>
        <v>Котельная №18А, с.Солнечная Поляна, ул. 4-я Линия</v>
      </c>
      <c r="AH12" s="2402" t="str">
        <f>IF(AH9="","",INDEX(DIFFERENTIATION_UNMERGE_SYSTEM,MATCH(AH9,DIFFERENTIATION_ID_DIFF,0)))</f>
        <v>Котельная №20,пос.Яблоневый Овраг , ул Никитина</v>
      </c>
      <c r="AI12" s="2402" t="str">
        <f>IF(AI9="","",INDEX(DIFFERENTIATION_UNMERGE_SYSTEM,MATCH(AI9,DIFFERENTIATION_ID_DIFF,0)))</f>
        <v>Котельная №22, ул.Магистральная</v>
      </c>
      <c r="AJ12" s="2402" t="str">
        <f>IF(AJ9="","",INDEX(DIFFERENTIATION_UNMERGE_SYSTEM,MATCH(AJ9,DIFFERENTIATION_ID_DIFF,0)))</f>
        <v>Котельная №25,  МКР Г-1, ул.Гидротехническая</v>
      </c>
      <c r="AK12" s="2402" t="str">
        <f>IF(AK9="","",INDEX(DIFFERENTIATION_UNMERGE_SYSTEM,MATCH(AK9,DIFFERENTIATION_ID_DIFF,0)))</f>
        <v>ЦТП-7, ул.Оборонная</v>
      </c>
      <c r="AL12" s="2402" t="str">
        <f>IF(AL9="","",INDEX(DIFFERENTIATION_UNMERGE_SYSTEM,MATCH(AL9,DIFFERENTIATION_ID_DIFF,0)))</f>
        <v>ЦТП-8, ул.Шевченко</v>
      </c>
      <c r="AM12" s="2402" t="str">
        <f>IF(AM9="","",INDEX(DIFFERENTIATION_UNMERGE_SYSTEM,MATCH(AM9,DIFFERENTIATION_ID_DIFF,0)))</f>
        <v>ПНС, ул.Парковая</v>
      </c>
      <c r="AN12" s="2402" t="str">
        <f>IF(AN9="","",INDEX(DIFFERENTIATION_UNMERGE_SYSTEM,MATCH(AN9,DIFFERENTIATION_ID_DIFF,0)))</f>
        <v>Котельная №27, п.Богатырь, ул.Управленческая</v>
      </c>
      <c r="AO12" s="2402" t="str">
        <f>IF(AO9="","",INDEX(DIFFERENTIATION_UNMERGE_SYSTEM,MATCH(AO9,DIFFERENTIATION_ID_DIFF,0)))</f>
        <v>Котельная №13, ул.Морквашинская</v>
      </c>
      <c r="AP12" s="2402" t="str">
        <f>IF(AP9="","",INDEX(DIFFERENTIATION_UNMERGE_SYSTEM,MATCH(AP9,DIFFERENTIATION_ID_DIFF,0)))</f>
        <v>Котельная №14, ул.Радиозаводская</v>
      </c>
      <c r="AQ12" s="2402" t="str">
        <f>IF(AQ9="","",INDEX(DIFFERENTIATION_UNMERGE_SYSTEM,MATCH(AQ9,DIFFERENTIATION_ID_DIFF,0)))</f>
        <v>Котельная №25,  МКР Г-1, ул.Гидротехническая</v>
      </c>
      <c r="AS12" s="2136"/>
      <c r="BO12" s="1640">
        <v>11</v>
      </c>
    </row>
    <row customHeight="1" ht="11.549999999999999">
      <c r="E13" s="2059" t="s">
        <v>726</v>
      </c>
      <c r="F13" s="2059" t="s">
        <v>727</v>
      </c>
      <c r="I13" s="2378" t="s">
        <v>373</v>
      </c>
      <c r="J13" s="2379"/>
      <c r="K13" s="2379"/>
      <c r="L13" s="2036"/>
      <c r="M13" s="2076"/>
      <c r="N13" s="2376"/>
      <c r="O13" s="2376"/>
      <c r="P13" s="2376"/>
      <c r="Q13" s="2376"/>
      <c r="R13" s="2376"/>
      <c r="S13" s="2376"/>
      <c r="T13" s="2376"/>
      <c r="U13" s="2376"/>
      <c r="V13" s="2376"/>
      <c r="W13" s="2376"/>
      <c r="X13" s="2376"/>
      <c r="Y13" s="2376"/>
      <c r="Z13" s="2376"/>
      <c r="AA13" s="2376"/>
      <c r="AB13" s="2376"/>
      <c r="AC13" s="2376"/>
      <c r="AD13" s="2376"/>
      <c r="AE13" s="2376"/>
      <c r="AF13" s="2376"/>
      <c r="AG13" s="2376"/>
      <c r="AH13" s="2376"/>
      <c r="AI13" s="2376"/>
      <c r="AJ13" s="2376"/>
      <c r="AK13" s="2376"/>
      <c r="AL13" s="2376"/>
      <c r="AM13" s="2376"/>
      <c r="AN13" s="2376"/>
      <c r="AO13" s="2376"/>
      <c r="AP13" s="2376"/>
      <c r="AQ13" s="2376"/>
      <c r="AS13" s="2136"/>
      <c r="BO13" s="1640">
        <v>11</v>
      </c>
    </row>
    <row customHeight="1" ht="24">
      <c r="I14" s="2029" t="s">
        <v>88</v>
      </c>
      <c r="J14" s="2029" t="s">
        <v>375</v>
      </c>
      <c r="K14" s="2029" t="s">
        <v>639</v>
      </c>
      <c r="L14" s="2069" t="s">
        <v>376</v>
      </c>
      <c r="M14" s="2070" t="s">
        <v>376</v>
      </c>
      <c r="N14" s="2271" t="s">
        <v>376</v>
      </c>
      <c r="O14" s="2271" t="s">
        <v>376</v>
      </c>
      <c r="P14" s="2271" t="s">
        <v>376</v>
      </c>
      <c r="Q14" s="2271" t="s">
        <v>376</v>
      </c>
      <c r="R14" s="2271" t="s">
        <v>376</v>
      </c>
      <c r="S14" s="2271" t="s">
        <v>376</v>
      </c>
      <c r="T14" s="2271" t="s">
        <v>376</v>
      </c>
      <c r="U14" s="2271" t="s">
        <v>376</v>
      </c>
      <c r="V14" s="2271" t="s">
        <v>376</v>
      </c>
      <c r="W14" s="2271" t="s">
        <v>376</v>
      </c>
      <c r="X14" s="2271" t="s">
        <v>376</v>
      </c>
      <c r="Y14" s="2271" t="s">
        <v>376</v>
      </c>
      <c r="Z14" s="2271" t="s">
        <v>376</v>
      </c>
      <c r="AA14" s="2271" t="s">
        <v>376</v>
      </c>
      <c r="AB14" s="2271" t="s">
        <v>376</v>
      </c>
      <c r="AC14" s="2271" t="s">
        <v>376</v>
      </c>
      <c r="AD14" s="2271" t="s">
        <v>376</v>
      </c>
      <c r="AE14" s="2271" t="s">
        <v>376</v>
      </c>
      <c r="AF14" s="2271" t="s">
        <v>376</v>
      </c>
      <c r="AG14" s="2271" t="s">
        <v>376</v>
      </c>
      <c r="AH14" s="2271" t="s">
        <v>376</v>
      </c>
      <c r="AI14" s="2271" t="s">
        <v>376</v>
      </c>
      <c r="AJ14" s="2271" t="s">
        <v>376</v>
      </c>
      <c r="AK14" s="2271" t="s">
        <v>376</v>
      </c>
      <c r="AL14" s="2271" t="s">
        <v>376</v>
      </c>
      <c r="AM14" s="2271" t="s">
        <v>376</v>
      </c>
      <c r="AN14" s="2271" t="s">
        <v>376</v>
      </c>
      <c r="AO14" s="2271" t="s">
        <v>376</v>
      </c>
      <c r="AP14" s="2271" t="s">
        <v>376</v>
      </c>
      <c r="AQ14" s="2271" t="s">
        <v>376</v>
      </c>
      <c r="AS14" s="2136"/>
      <c r="BO14" s="1640">
        <v>23</v>
      </c>
    </row>
    <row customHeight="1" ht="24">
      <c r="A15" s="2063"/>
      <c r="B15" s="2062" t="s">
        <v>728</v>
      </c>
      <c r="C15" s="2062" t="s">
        <v>729</v>
      </c>
      <c r="D15" s="2061" t="s">
        <v>730</v>
      </c>
      <c r="E15" s="2065" t="s">
        <v>731</v>
      </c>
      <c r="F15" s="2065" t="s">
        <v>731</v>
      </c>
      <c r="G15" s="1645" t="s">
        <v>661</v>
      </c>
      <c r="H15" s="2030"/>
      <c r="I15" s="1639">
        <v>1</v>
      </c>
      <c r="J15" s="2031" t="s">
        <v>732</v>
      </c>
      <c r="K15" s="2029" t="s">
        <v>379</v>
      </c>
      <c r="L15" s="671"/>
      <c r="M15" s="827"/>
      <c r="N15" s="671"/>
      <c r="O15" s="671"/>
      <c r="P15" s="671"/>
      <c r="Q15" s="671"/>
      <c r="R15" s="671"/>
      <c r="S15" s="671"/>
      <c r="T15" s="671"/>
      <c r="U15" s="671"/>
      <c r="V15" s="671"/>
      <c r="W15" s="671"/>
      <c r="X15" s="671"/>
      <c r="Y15" s="671"/>
      <c r="Z15" s="671"/>
      <c r="AA15" s="671"/>
      <c r="AB15" s="671"/>
      <c r="AC15" s="671"/>
      <c r="AD15" s="671"/>
      <c r="AE15" s="671"/>
      <c r="AF15" s="671"/>
      <c r="AG15" s="671"/>
      <c r="AH15" s="671"/>
      <c r="AI15" s="671"/>
      <c r="AJ15" s="671"/>
      <c r="AK15" s="671"/>
      <c r="AL15" s="671"/>
      <c r="AM15" s="671"/>
      <c r="AN15" s="671"/>
      <c r="AO15" s="671"/>
      <c r="AP15" s="671"/>
      <c r="AQ15" s="671"/>
      <c r="AR15" s="552" t="s">
        <v>733</v>
      </c>
      <c r="AS15" s="1534" t="s">
        <v>734</v>
      </c>
      <c r="AT15" s="552" t="s">
        <v>733</v>
      </c>
      <c r="BO15" s="1640">
        <v>23</v>
      </c>
    </row>
    <row customHeight="1" ht="35.699999999999996">
      <c r="A16" s="2063"/>
      <c r="B16" s="2062" t="s">
        <v>735</v>
      </c>
      <c r="C16" s="2062" t="s">
        <v>736</v>
      </c>
      <c r="D16" s="2061" t="s">
        <v>720</v>
      </c>
      <c r="E16" s="2065" t="s">
        <v>731</v>
      </c>
      <c r="F16" s="2065" t="s">
        <v>731</v>
      </c>
      <c r="H16" s="2030"/>
      <c r="I16" s="1638">
        <v>2</v>
      </c>
      <c r="J16" s="2072" t="s">
        <v>737</v>
      </c>
      <c r="K16" s="2071" t="s">
        <v>629</v>
      </c>
      <c r="L16" s="2077"/>
      <c r="M16" s="1685"/>
      <c r="N16" s="2077"/>
      <c r="O16" s="2077"/>
      <c r="P16" s="2077"/>
      <c r="Q16" s="2077"/>
      <c r="R16" s="2077"/>
      <c r="S16" s="2077"/>
      <c r="T16" s="2077"/>
      <c r="U16" s="2077"/>
      <c r="V16" s="2077"/>
      <c r="W16" s="2077"/>
      <c r="X16" s="2077"/>
      <c r="Y16" s="2077"/>
      <c r="Z16" s="2077"/>
      <c r="AA16" s="2077"/>
      <c r="AB16" s="2077"/>
      <c r="AC16" s="2077"/>
      <c r="AD16" s="2077"/>
      <c r="AE16" s="2077"/>
      <c r="AF16" s="2077"/>
      <c r="AG16" s="2077"/>
      <c r="AH16" s="2077"/>
      <c r="AI16" s="2077"/>
      <c r="AJ16" s="2077"/>
      <c r="AK16" s="2077"/>
      <c r="AL16" s="2077"/>
      <c r="AM16" s="2077"/>
      <c r="AN16" s="2077"/>
      <c r="AO16" s="2077"/>
      <c r="AP16" s="2077"/>
      <c r="AQ16" s="2077"/>
      <c r="AR16" s="552" t="s">
        <v>733</v>
      </c>
      <c r="AS16" s="1534" t="s">
        <v>738</v>
      </c>
      <c r="AT16" s="552" t="s">
        <v>733</v>
      </c>
      <c r="BO16" s="1640">
        <v>34</v>
      </c>
    </row>
    <row s="1651" customFormat="1" customHeight="1" ht="17.25" hidden="1">
      <c r="A17" s="1176"/>
      <c r="B17" s="1176"/>
      <c r="C17" s="1176"/>
      <c r="D17" s="1176"/>
      <c r="E17" s="1176"/>
      <c r="H17" s="1333"/>
      <c r="I17" s="1022" t="s">
        <v>739</v>
      </c>
      <c r="J17" s="1000"/>
      <c r="K17" s="1022"/>
      <c r="L17" s="1001"/>
      <c r="M17" s="1001"/>
      <c r="N17" s="1001"/>
      <c r="O17" s="1001"/>
      <c r="P17" s="1001"/>
      <c r="Q17" s="1001"/>
      <c r="R17" s="1001"/>
      <c r="S17" s="1001"/>
      <c r="T17" s="1001"/>
      <c r="U17" s="1001"/>
      <c r="V17" s="1001"/>
      <c r="W17" s="1001"/>
      <c r="X17" s="1001"/>
      <c r="Y17" s="1001"/>
      <c r="Z17" s="1001"/>
      <c r="AA17" s="1001"/>
      <c r="AB17" s="1001"/>
      <c r="AC17" s="1001"/>
      <c r="AD17" s="1001"/>
      <c r="AE17" s="1001"/>
      <c r="AF17" s="1001"/>
      <c r="AG17" s="1001"/>
      <c r="AH17" s="1001"/>
      <c r="AI17" s="1001"/>
      <c r="AJ17" s="1001"/>
      <c r="AK17" s="1001"/>
      <c r="AL17" s="1001"/>
      <c r="AM17" s="1001"/>
      <c r="AN17" s="1001"/>
      <c r="AO17" s="1001"/>
      <c r="AP17" s="1001"/>
      <c r="AQ17" s="1001"/>
      <c r="AS17" s="1394"/>
      <c r="BO17" s="1645">
        <v>1</v>
      </c>
    </row>
    <row s="1375" customFormat="1" customHeight="1" ht="24">
      <c r="A18" s="996"/>
      <c r="B18" s="996"/>
      <c r="C18" s="996"/>
      <c r="D18" s="996"/>
      <c r="E18" s="996"/>
      <c r="G18" s="1645"/>
      <c r="H18" s="1642"/>
      <c r="I18" s="579"/>
      <c r="J18" s="580" t="s">
        <v>659</v>
      </c>
      <c r="K18" s="581"/>
      <c r="L18" s="2079"/>
      <c r="M18" s="582"/>
      <c r="N18" s="2803"/>
      <c r="O18" s="2804"/>
      <c r="P18" s="2805"/>
      <c r="Q18" s="2806"/>
      <c r="R18" s="2807"/>
      <c r="S18" s="2808"/>
      <c r="T18" s="2809"/>
      <c r="U18" s="2810"/>
      <c r="V18" s="2811"/>
      <c r="W18" s="2812"/>
      <c r="X18" s="2813"/>
      <c r="Y18" s="2814"/>
      <c r="Z18" s="2815"/>
      <c r="AA18" s="2816"/>
      <c r="AB18" s="2817"/>
      <c r="AC18" s="2818"/>
      <c r="AD18" s="2819"/>
      <c r="AE18" s="2820"/>
      <c r="AF18" s="2821"/>
      <c r="AG18" s="2822"/>
      <c r="AH18" s="2823"/>
      <c r="AI18" s="2824"/>
      <c r="AJ18" s="2825"/>
      <c r="AK18" s="2826"/>
      <c r="AL18" s="2827"/>
      <c r="AM18" s="2828"/>
      <c r="AN18" s="2829"/>
      <c r="AO18" s="3151"/>
      <c r="AP18" s="3152"/>
      <c r="AQ18" s="3153"/>
      <c r="AR18" s="552"/>
      <c r="AS18" s="1534" t="s">
        <v>660</v>
      </c>
      <c r="AT18" s="552"/>
      <c r="AU18" s="1645"/>
      <c r="AV18" s="1645"/>
      <c r="BA18" s="1645"/>
      <c r="BD18" s="553"/>
      <c r="BJ18" s="1641"/>
      <c r="BK18" s="1641"/>
      <c r="BL18" s="1641"/>
      <c r="BM18" s="1641"/>
      <c r="BN18" s="1641"/>
      <c r="BO18" s="1375">
        <v>23</v>
      </c>
    </row>
    <row customHeight="1" ht="19.95">
      <c r="A19" s="2063"/>
      <c r="B19" s="2062" t="s">
        <v>740</v>
      </c>
      <c r="C19" s="2062" t="s">
        <v>741</v>
      </c>
      <c r="D19" s="2061" t="s">
        <v>720</v>
      </c>
      <c r="E19" s="2065" t="s">
        <v>731</v>
      </c>
      <c r="F19" s="2065" t="s">
        <v>731</v>
      </c>
      <c r="H19" s="2030"/>
      <c r="I19" s="1673">
        <v>3</v>
      </c>
      <c r="J19" s="2031" t="s">
        <v>741</v>
      </c>
      <c r="K19" s="2027" t="s">
        <v>629</v>
      </c>
      <c r="L19" s="736"/>
      <c r="M19" s="566"/>
      <c r="N19" s="736"/>
      <c r="O19" s="736"/>
      <c r="P19" s="736"/>
      <c r="Q19" s="736"/>
      <c r="R19" s="736"/>
      <c r="S19" s="736"/>
      <c r="T19" s="736"/>
      <c r="U19" s="736"/>
      <c r="V19" s="736"/>
      <c r="W19" s="736"/>
      <c r="X19" s="736"/>
      <c r="Y19" s="736"/>
      <c r="Z19" s="736"/>
      <c r="AA19" s="736"/>
      <c r="AB19" s="736"/>
      <c r="AC19" s="736"/>
      <c r="AD19" s="736"/>
      <c r="AE19" s="736"/>
      <c r="AF19" s="736"/>
      <c r="AG19" s="736"/>
      <c r="AH19" s="736"/>
      <c r="AI19" s="736"/>
      <c r="AJ19" s="736"/>
      <c r="AK19" s="736"/>
      <c r="AL19" s="736"/>
      <c r="AM19" s="736"/>
      <c r="AN19" s="736"/>
      <c r="AO19" s="736"/>
      <c r="AP19" s="736"/>
      <c r="AQ19" s="736"/>
      <c r="AR19" s="552"/>
      <c r="AS19" s="1534" t="s">
        <v>742</v>
      </c>
      <c r="AT19" s="552"/>
      <c r="BO19" s="1640">
        <v>19</v>
      </c>
    </row>
    <row customHeight="1" ht="77.7">
      <c r="A20" s="2063"/>
      <c r="B20" s="2062" t="s">
        <v>743</v>
      </c>
      <c r="C20" s="2062" t="s">
        <v>744</v>
      </c>
      <c r="D20" s="2061" t="s">
        <v>720</v>
      </c>
      <c r="E20" s="2065" t="s">
        <v>731</v>
      </c>
      <c r="F20" s="2065" t="s">
        <v>731</v>
      </c>
      <c r="H20" s="2030"/>
      <c r="I20" s="1673">
        <v>4</v>
      </c>
      <c r="J20" s="2031" t="s">
        <v>745</v>
      </c>
      <c r="K20" s="2027" t="s">
        <v>656</v>
      </c>
      <c r="L20" s="736"/>
      <c r="M20" s="566"/>
      <c r="N20" s="736"/>
      <c r="O20" s="736"/>
      <c r="P20" s="736"/>
      <c r="Q20" s="736"/>
      <c r="R20" s="736"/>
      <c r="S20" s="736"/>
      <c r="T20" s="736"/>
      <c r="U20" s="736"/>
      <c r="V20" s="736"/>
      <c r="W20" s="736"/>
      <c r="X20" s="736"/>
      <c r="Y20" s="736"/>
      <c r="Z20" s="736"/>
      <c r="AA20" s="736"/>
      <c r="AB20" s="736"/>
      <c r="AC20" s="736"/>
      <c r="AD20" s="736"/>
      <c r="AE20" s="736"/>
      <c r="AF20" s="736"/>
      <c r="AG20" s="736"/>
      <c r="AH20" s="736"/>
      <c r="AI20" s="736"/>
      <c r="AJ20" s="736"/>
      <c r="AK20" s="736"/>
      <c r="AL20" s="736"/>
      <c r="AM20" s="736"/>
      <c r="AN20" s="736"/>
      <c r="AO20" s="736"/>
      <c r="AP20" s="736"/>
      <c r="AQ20" s="736"/>
      <c r="AR20" s="552"/>
      <c r="AS20" s="1534"/>
      <c r="AT20" s="552"/>
      <c r="BO20" s="1640">
        <v>74</v>
      </c>
    </row>
    <row customHeight="1" ht="35.699999999999996">
      <c r="A21" s="2063"/>
      <c r="B21" s="2062" t="s">
        <v>746</v>
      </c>
      <c r="C21" s="2062" t="s">
        <v>747</v>
      </c>
      <c r="D21" s="2061" t="s">
        <v>720</v>
      </c>
      <c r="E21" s="2065" t="s">
        <v>731</v>
      </c>
      <c r="F21" s="2065" t="s">
        <v>731</v>
      </c>
      <c r="H21" s="2030"/>
      <c r="I21" s="1673">
        <v>5</v>
      </c>
      <c r="J21" s="2031" t="s">
        <v>748</v>
      </c>
      <c r="K21" s="2027" t="s">
        <v>656</v>
      </c>
      <c r="L21" s="736"/>
      <c r="M21" s="566"/>
      <c r="N21" s="736"/>
      <c r="O21" s="736"/>
      <c r="P21" s="736"/>
      <c r="Q21" s="736"/>
      <c r="R21" s="736"/>
      <c r="S21" s="736"/>
      <c r="T21" s="736"/>
      <c r="U21" s="736"/>
      <c r="V21" s="736"/>
      <c r="W21" s="736"/>
      <c r="X21" s="736"/>
      <c r="Y21" s="736"/>
      <c r="Z21" s="736"/>
      <c r="AA21" s="736"/>
      <c r="AB21" s="736"/>
      <c r="AC21" s="736"/>
      <c r="AD21" s="736"/>
      <c r="AE21" s="736"/>
      <c r="AF21" s="736"/>
      <c r="AG21" s="736"/>
      <c r="AH21" s="736"/>
      <c r="AI21" s="736"/>
      <c r="AJ21" s="736"/>
      <c r="AK21" s="736"/>
      <c r="AL21" s="736"/>
      <c r="AM21" s="736"/>
      <c r="AN21" s="736"/>
      <c r="AO21" s="736"/>
      <c r="AP21" s="736"/>
      <c r="AQ21" s="736"/>
      <c r="AR21" s="552"/>
      <c r="AS21" s="1534" t="s">
        <v>742</v>
      </c>
      <c r="AT21" s="552"/>
      <c r="BO21" s="1640">
        <v>34</v>
      </c>
    </row>
    <row customHeight="1" ht="48.29999999999999">
      <c r="A22" s="2063"/>
      <c r="B22" s="2062" t="s">
        <v>749</v>
      </c>
      <c r="C22" s="2062" t="s">
        <v>750</v>
      </c>
      <c r="D22" s="2061" t="s">
        <v>720</v>
      </c>
      <c r="E22" s="2065" t="s">
        <v>731</v>
      </c>
      <c r="F22" s="2065" t="s">
        <v>731</v>
      </c>
      <c r="H22" s="2030"/>
      <c r="I22" s="1673">
        <v>6</v>
      </c>
      <c r="J22" s="2031" t="s">
        <v>751</v>
      </c>
      <c r="K22" s="2027" t="s">
        <v>656</v>
      </c>
      <c r="L22" s="736"/>
      <c r="M22" s="566"/>
      <c r="N22" s="736"/>
      <c r="O22" s="736"/>
      <c r="P22" s="736"/>
      <c r="Q22" s="736"/>
      <c r="R22" s="736"/>
      <c r="S22" s="736"/>
      <c r="T22" s="736"/>
      <c r="U22" s="736"/>
      <c r="V22" s="736"/>
      <c r="W22" s="736"/>
      <c r="X22" s="736"/>
      <c r="Y22" s="736"/>
      <c r="Z22" s="736"/>
      <c r="AA22" s="736"/>
      <c r="AB22" s="736"/>
      <c r="AC22" s="736"/>
      <c r="AD22" s="736"/>
      <c r="AE22" s="736"/>
      <c r="AF22" s="736"/>
      <c r="AG22" s="736"/>
      <c r="AH22" s="736"/>
      <c r="AI22" s="736"/>
      <c r="AJ22" s="736"/>
      <c r="AK22" s="736"/>
      <c r="AL22" s="736"/>
      <c r="AM22" s="736"/>
      <c r="AN22" s="736"/>
      <c r="AO22" s="736"/>
      <c r="AP22" s="736"/>
      <c r="AQ22" s="736"/>
      <c r="AR22" s="552"/>
      <c r="AS22" s="1534" t="s">
        <v>752</v>
      </c>
      <c r="AT22" s="552"/>
      <c r="BO22" s="1640">
        <v>46</v>
      </c>
    </row>
    <row customHeight="1" ht="19.95">
      <c r="A23" s="2063"/>
      <c r="B23" s="2062" t="s">
        <v>753</v>
      </c>
      <c r="C23" s="2062" t="s">
        <v>754</v>
      </c>
      <c r="D23" s="2061" t="s">
        <v>720</v>
      </c>
      <c r="E23" s="2065" t="s">
        <v>731</v>
      </c>
      <c r="F23" s="2065" t="s">
        <v>731</v>
      </c>
      <c r="H23" s="2030"/>
      <c r="I23" s="1673" t="s">
        <v>755</v>
      </c>
      <c r="J23" s="1533" t="s">
        <v>756</v>
      </c>
      <c r="K23" s="2027" t="s">
        <v>656</v>
      </c>
      <c r="L23" s="736"/>
      <c r="M23" s="566"/>
      <c r="N23" s="736"/>
      <c r="O23" s="736"/>
      <c r="P23" s="736"/>
      <c r="Q23" s="736"/>
      <c r="R23" s="736"/>
      <c r="S23" s="736"/>
      <c r="T23" s="736"/>
      <c r="U23" s="736"/>
      <c r="V23" s="736"/>
      <c r="W23" s="736"/>
      <c r="X23" s="736"/>
      <c r="Y23" s="736"/>
      <c r="Z23" s="736"/>
      <c r="AA23" s="736"/>
      <c r="AB23" s="736"/>
      <c r="AC23" s="736"/>
      <c r="AD23" s="736"/>
      <c r="AE23" s="736"/>
      <c r="AF23" s="736"/>
      <c r="AG23" s="736"/>
      <c r="AH23" s="736"/>
      <c r="AI23" s="736"/>
      <c r="AJ23" s="736"/>
      <c r="AK23" s="736"/>
      <c r="AL23" s="736"/>
      <c r="AM23" s="736"/>
      <c r="AN23" s="736"/>
      <c r="AO23" s="736"/>
      <c r="AP23" s="736"/>
      <c r="AQ23" s="736"/>
      <c r="AR23" s="552"/>
      <c r="AS23" s="1534" t="s">
        <v>742</v>
      </c>
      <c r="AT23" s="552"/>
      <c r="BO23" s="1640">
        <v>19</v>
      </c>
    </row>
    <row customHeight="1" ht="19.95">
      <c r="A24" s="2063"/>
      <c r="B24" s="2062" t="s">
        <v>757</v>
      </c>
      <c r="C24" s="2062" t="s">
        <v>758</v>
      </c>
      <c r="D24" s="2061" t="s">
        <v>720</v>
      </c>
      <c r="E24" s="2065" t="s">
        <v>731</v>
      </c>
      <c r="F24" s="2065" t="s">
        <v>731</v>
      </c>
      <c r="H24" s="2030"/>
      <c r="I24" s="1673" t="s">
        <v>759</v>
      </c>
      <c r="J24" s="1533" t="s">
        <v>760</v>
      </c>
      <c r="K24" s="2027" t="s">
        <v>656</v>
      </c>
      <c r="L24" s="736"/>
      <c r="M24" s="566"/>
      <c r="N24" s="736"/>
      <c r="O24" s="736"/>
      <c r="P24" s="736"/>
      <c r="Q24" s="736"/>
      <c r="R24" s="736"/>
      <c r="S24" s="736"/>
      <c r="T24" s="736"/>
      <c r="U24" s="736"/>
      <c r="V24" s="736"/>
      <c r="W24" s="736"/>
      <c r="X24" s="736"/>
      <c r="Y24" s="736"/>
      <c r="Z24" s="736"/>
      <c r="AA24" s="736"/>
      <c r="AB24" s="736"/>
      <c r="AC24" s="736"/>
      <c r="AD24" s="736"/>
      <c r="AE24" s="736"/>
      <c r="AF24" s="736"/>
      <c r="AG24" s="736"/>
      <c r="AH24" s="736"/>
      <c r="AI24" s="736"/>
      <c r="AJ24" s="736"/>
      <c r="AK24" s="736"/>
      <c r="AL24" s="736"/>
      <c r="AM24" s="736"/>
      <c r="AN24" s="736"/>
      <c r="AO24" s="736"/>
      <c r="AP24" s="736"/>
      <c r="AQ24" s="736"/>
      <c r="AR24" s="552"/>
      <c r="AS24" s="1534"/>
      <c r="AT24" s="552"/>
      <c r="BO24" s="1640">
        <v>19</v>
      </c>
    </row>
    <row customHeight="1" ht="24">
      <c r="A25" s="2063"/>
      <c r="B25" s="2062" t="s">
        <v>761</v>
      </c>
      <c r="C25" s="2062" t="s">
        <v>762</v>
      </c>
      <c r="D25" s="2061" t="s">
        <v>720</v>
      </c>
      <c r="E25" s="2065" t="s">
        <v>731</v>
      </c>
      <c r="F25" s="2065" t="s">
        <v>731</v>
      </c>
      <c r="H25" s="2030"/>
      <c r="I25" s="1673" t="s">
        <v>763</v>
      </c>
      <c r="J25" s="1533" t="s">
        <v>764</v>
      </c>
      <c r="K25" s="2027" t="s">
        <v>656</v>
      </c>
      <c r="L25" s="736"/>
      <c r="M25" s="566"/>
      <c r="N25" s="736"/>
      <c r="O25" s="736"/>
      <c r="P25" s="736"/>
      <c r="Q25" s="736"/>
      <c r="R25" s="736"/>
      <c r="S25" s="736"/>
      <c r="T25" s="736"/>
      <c r="U25" s="736"/>
      <c r="V25" s="736"/>
      <c r="W25" s="736"/>
      <c r="X25" s="736"/>
      <c r="Y25" s="736"/>
      <c r="Z25" s="736"/>
      <c r="AA25" s="736"/>
      <c r="AB25" s="736"/>
      <c r="AC25" s="736"/>
      <c r="AD25" s="736"/>
      <c r="AE25" s="736"/>
      <c r="AF25" s="736"/>
      <c r="AG25" s="736"/>
      <c r="AH25" s="736"/>
      <c r="AI25" s="736"/>
      <c r="AJ25" s="736"/>
      <c r="AK25" s="736"/>
      <c r="AL25" s="736"/>
      <c r="AM25" s="736"/>
      <c r="AN25" s="736"/>
      <c r="AO25" s="736"/>
      <c r="AP25" s="736"/>
      <c r="AQ25" s="736"/>
      <c r="AR25" s="552"/>
      <c r="AS25" s="1534"/>
      <c r="AT25" s="552"/>
      <c r="BO25" s="1640">
        <v>23</v>
      </c>
    </row>
    <row customHeight="1" ht="24">
      <c r="A26" s="2063"/>
      <c r="B26" s="2062" t="s">
        <v>765</v>
      </c>
      <c r="C26" s="2062" t="s">
        <v>766</v>
      </c>
      <c r="D26" s="2061" t="s">
        <v>720</v>
      </c>
      <c r="E26" s="2065" t="s">
        <v>731</v>
      </c>
      <c r="F26" s="2065" t="s">
        <v>731</v>
      </c>
      <c r="H26" s="2030"/>
      <c r="I26" s="1673">
        <v>7</v>
      </c>
      <c r="J26" s="2031" t="s">
        <v>766</v>
      </c>
      <c r="K26" s="2027" t="s">
        <v>767</v>
      </c>
      <c r="L26" s="736"/>
      <c r="M26" s="566"/>
      <c r="N26" s="736"/>
      <c r="O26" s="736"/>
      <c r="P26" s="736"/>
      <c r="Q26" s="736"/>
      <c r="R26" s="736"/>
      <c r="S26" s="736"/>
      <c r="T26" s="736"/>
      <c r="U26" s="736"/>
      <c r="V26" s="736"/>
      <c r="W26" s="736"/>
      <c r="X26" s="736"/>
      <c r="Y26" s="736"/>
      <c r="Z26" s="736"/>
      <c r="AA26" s="736"/>
      <c r="AB26" s="736"/>
      <c r="AC26" s="736"/>
      <c r="AD26" s="736"/>
      <c r="AE26" s="736"/>
      <c r="AF26" s="736"/>
      <c r="AG26" s="736"/>
      <c r="AH26" s="736"/>
      <c r="AI26" s="736"/>
      <c r="AJ26" s="736"/>
      <c r="AK26" s="736"/>
      <c r="AL26" s="736"/>
      <c r="AM26" s="736"/>
      <c r="AN26" s="736"/>
      <c r="AO26" s="736"/>
      <c r="AP26" s="736"/>
      <c r="AQ26" s="736"/>
      <c r="AR26" s="552"/>
      <c r="AS26" s="1534"/>
      <c r="AT26" s="552"/>
      <c r="BO26" s="1640">
        <v>23</v>
      </c>
    </row>
    <row customHeight="1" ht="24">
      <c r="A27" s="2063"/>
      <c r="B27" s="2062" t="s">
        <v>768</v>
      </c>
      <c r="C27" s="2062" t="s">
        <v>769</v>
      </c>
      <c r="D27" s="2061" t="s">
        <v>720</v>
      </c>
      <c r="E27" s="2065" t="s">
        <v>731</v>
      </c>
      <c r="F27" s="2065" t="s">
        <v>731</v>
      </c>
      <c r="H27" s="2030"/>
      <c r="I27" s="1673">
        <v>8</v>
      </c>
      <c r="J27" s="2031" t="s">
        <v>769</v>
      </c>
      <c r="K27" s="2027" t="s">
        <v>662</v>
      </c>
      <c r="L27" s="736"/>
      <c r="M27" s="566"/>
      <c r="N27" s="736"/>
      <c r="O27" s="736"/>
      <c r="P27" s="736"/>
      <c r="Q27" s="736"/>
      <c r="R27" s="736"/>
      <c r="S27" s="736"/>
      <c r="T27" s="736"/>
      <c r="U27" s="736"/>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552"/>
      <c r="AS27" s="1534"/>
      <c r="AT27" s="552"/>
      <c r="BO27" s="1640">
        <v>23</v>
      </c>
    </row>
    <row customHeight="1" ht="35.699999999999996">
      <c r="A28" s="2063"/>
      <c r="B28" s="2062" t="s">
        <v>770</v>
      </c>
      <c r="C28" s="2062" t="s">
        <v>771</v>
      </c>
      <c r="D28" s="2061" t="s">
        <v>720</v>
      </c>
      <c r="E28" s="2065" t="s">
        <v>731</v>
      </c>
      <c r="F28" s="2065" t="s">
        <v>731</v>
      </c>
      <c r="H28" s="2030"/>
      <c r="I28" s="1684">
        <v>9</v>
      </c>
      <c r="J28" s="2031" t="s">
        <v>772</v>
      </c>
      <c r="K28" s="2027" t="s">
        <v>633</v>
      </c>
      <c r="L28" s="736"/>
      <c r="M28" s="566"/>
      <c r="N28" s="736"/>
      <c r="O28" s="736"/>
      <c r="P28" s="736"/>
      <c r="Q28" s="736"/>
      <c r="R28" s="736"/>
      <c r="S28" s="736"/>
      <c r="T28" s="736"/>
      <c r="U28" s="736"/>
      <c r="V28" s="736"/>
      <c r="W28" s="736"/>
      <c r="X28" s="736"/>
      <c r="Y28" s="736"/>
      <c r="Z28" s="736"/>
      <c r="AA28" s="736"/>
      <c r="AB28" s="736"/>
      <c r="AC28" s="736"/>
      <c r="AD28" s="736"/>
      <c r="AE28" s="736"/>
      <c r="AF28" s="736"/>
      <c r="AG28" s="736"/>
      <c r="AH28" s="736"/>
      <c r="AI28" s="736"/>
      <c r="AJ28" s="736"/>
      <c r="AK28" s="736"/>
      <c r="AL28" s="736"/>
      <c r="AM28" s="736"/>
      <c r="AN28" s="736"/>
      <c r="AO28" s="736"/>
      <c r="AP28" s="736"/>
      <c r="AQ28" s="736"/>
      <c r="AR28" s="552"/>
      <c r="AS28" s="1534"/>
      <c r="AT28" s="552"/>
      <c r="BO28" s="1640">
        <v>34</v>
      </c>
    </row>
    <row customHeight="1" ht="35.699999999999996">
      <c r="A29" s="2063"/>
      <c r="B29" s="2062" t="s">
        <v>773</v>
      </c>
      <c r="C29" s="2062" t="s">
        <v>774</v>
      </c>
      <c r="D29" s="2061" t="s">
        <v>720</v>
      </c>
      <c r="E29" s="2065" t="s">
        <v>731</v>
      </c>
      <c r="F29" s="2065" t="s">
        <v>731</v>
      </c>
      <c r="H29" s="2030"/>
      <c r="I29" s="1684">
        <v>10</v>
      </c>
      <c r="J29" s="2031" t="s">
        <v>775</v>
      </c>
      <c r="K29" s="2027" t="s">
        <v>633</v>
      </c>
      <c r="L29" s="736"/>
      <c r="M29" s="566"/>
      <c r="N29" s="736"/>
      <c r="O29" s="736"/>
      <c r="P29" s="736"/>
      <c r="Q29" s="736"/>
      <c r="R29" s="736"/>
      <c r="S29" s="736"/>
      <c r="T29" s="736"/>
      <c r="U29" s="736"/>
      <c r="V29" s="736"/>
      <c r="W29" s="736"/>
      <c r="X29" s="736"/>
      <c r="Y29" s="736"/>
      <c r="Z29" s="736"/>
      <c r="AA29" s="736"/>
      <c r="AB29" s="736"/>
      <c r="AC29" s="736"/>
      <c r="AD29" s="736"/>
      <c r="AE29" s="736"/>
      <c r="AF29" s="736"/>
      <c r="AG29" s="736"/>
      <c r="AH29" s="736"/>
      <c r="AI29" s="736"/>
      <c r="AJ29" s="736"/>
      <c r="AK29" s="736"/>
      <c r="AL29" s="736"/>
      <c r="AM29" s="736"/>
      <c r="AN29" s="736"/>
      <c r="AO29" s="736"/>
      <c r="AP29" s="736"/>
      <c r="AQ29" s="736"/>
      <c r="AR29" s="552"/>
      <c r="AS29" s="1534"/>
      <c r="AT29" s="552"/>
      <c r="BO29" s="1640">
        <v>34</v>
      </c>
    </row>
    <row customHeight="1" ht="24">
      <c r="A30" s="2063"/>
      <c r="B30" s="2062" t="s">
        <v>776</v>
      </c>
      <c r="C30" s="2062" t="s">
        <v>777</v>
      </c>
      <c r="D30" s="2061" t="s">
        <v>720</v>
      </c>
      <c r="E30" s="2065" t="s">
        <v>731</v>
      </c>
      <c r="F30" s="2065" t="s">
        <v>731</v>
      </c>
      <c r="H30" s="2030"/>
      <c r="I30" s="1684">
        <v>11</v>
      </c>
      <c r="J30" s="2031" t="s">
        <v>777</v>
      </c>
      <c r="K30" s="2027" t="s">
        <v>663</v>
      </c>
      <c r="L30" s="2078"/>
      <c r="M30" s="1630"/>
      <c r="N30" s="2078"/>
      <c r="O30" s="2078"/>
      <c r="P30" s="2078"/>
      <c r="Q30" s="2078"/>
      <c r="R30" s="2078"/>
      <c r="S30" s="2078"/>
      <c r="T30" s="2078"/>
      <c r="U30" s="2078"/>
      <c r="V30" s="2078"/>
      <c r="W30" s="2078"/>
      <c r="X30" s="2078"/>
      <c r="Y30" s="2078"/>
      <c r="Z30" s="2078"/>
      <c r="AA30" s="2078"/>
      <c r="AB30" s="2078"/>
      <c r="AC30" s="2078"/>
      <c r="AD30" s="2078"/>
      <c r="AE30" s="2078"/>
      <c r="AF30" s="2078"/>
      <c r="AG30" s="2078"/>
      <c r="AH30" s="2078"/>
      <c r="AI30" s="2078"/>
      <c r="AJ30" s="2078"/>
      <c r="AK30" s="2078"/>
      <c r="AL30" s="2078"/>
      <c r="AM30" s="2078"/>
      <c r="AN30" s="2078"/>
      <c r="AO30" s="2078"/>
      <c r="AP30" s="2078"/>
      <c r="AQ30" s="2078"/>
      <c r="AR30" s="552"/>
      <c r="AS30" s="1534"/>
      <c r="AT30" s="552"/>
      <c r="BO30" s="1640">
        <v>23</v>
      </c>
    </row>
    <row customHeight="1" ht="24">
      <c r="A31" s="2063"/>
      <c r="B31" s="2062" t="s">
        <v>778</v>
      </c>
      <c r="C31" s="2062" t="s">
        <v>779</v>
      </c>
      <c r="D31" s="2061" t="s">
        <v>720</v>
      </c>
      <c r="E31" s="2065" t="s">
        <v>731</v>
      </c>
      <c r="F31" s="2065" t="s">
        <v>731</v>
      </c>
      <c r="H31" s="2030"/>
      <c r="I31" s="1684">
        <v>12</v>
      </c>
      <c r="J31" s="2031" t="s">
        <v>779</v>
      </c>
      <c r="K31" s="2027" t="s">
        <v>663</v>
      </c>
      <c r="L31" s="2078"/>
      <c r="M31" s="1630"/>
      <c r="N31" s="2078"/>
      <c r="O31" s="2078"/>
      <c r="P31" s="2078"/>
      <c r="Q31" s="2078"/>
      <c r="R31" s="2078"/>
      <c r="S31" s="2078"/>
      <c r="T31" s="2078"/>
      <c r="U31" s="2078"/>
      <c r="V31" s="2078"/>
      <c r="W31" s="2078"/>
      <c r="X31" s="2078"/>
      <c r="Y31" s="2078"/>
      <c r="Z31" s="2078"/>
      <c r="AA31" s="2078"/>
      <c r="AB31" s="2078"/>
      <c r="AC31" s="2078"/>
      <c r="AD31" s="2078"/>
      <c r="AE31" s="2078"/>
      <c r="AF31" s="2078"/>
      <c r="AG31" s="2078"/>
      <c r="AH31" s="2078"/>
      <c r="AI31" s="2078"/>
      <c r="AJ31" s="2078"/>
      <c r="AK31" s="2078"/>
      <c r="AL31" s="2078"/>
      <c r="AM31" s="2078"/>
      <c r="AN31" s="2078"/>
      <c r="AO31" s="2078"/>
      <c r="AP31" s="2078"/>
      <c r="AQ31" s="2078"/>
      <c r="AR31" s="552"/>
      <c r="AS31" s="1534"/>
      <c r="AT31" s="552"/>
      <c r="BO31" s="1640">
        <v>23</v>
      </c>
    </row>
    <row customHeight="1" ht="48.29999999999999">
      <c r="A32" s="2063"/>
      <c r="B32" s="2062" t="s">
        <v>780</v>
      </c>
      <c r="C32" s="2062" t="s">
        <v>781</v>
      </c>
      <c r="D32" s="2061" t="s">
        <v>720</v>
      </c>
      <c r="E32" s="2065" t="s">
        <v>731</v>
      </c>
      <c r="F32" s="2065" t="s">
        <v>731</v>
      </c>
      <c r="H32" s="2030"/>
      <c r="I32" s="1684">
        <v>13</v>
      </c>
      <c r="J32" s="2031" t="s">
        <v>782</v>
      </c>
      <c r="K32" s="2027" t="s">
        <v>673</v>
      </c>
      <c r="L32" s="736"/>
      <c r="M32" s="566"/>
      <c r="N32" s="736"/>
      <c r="O32" s="736"/>
      <c r="P32" s="736"/>
      <c r="Q32" s="736"/>
      <c r="R32" s="736"/>
      <c r="S32" s="736"/>
      <c r="T32" s="736"/>
      <c r="U32" s="736"/>
      <c r="V32" s="736"/>
      <c r="W32" s="736"/>
      <c r="X32" s="736"/>
      <c r="Y32" s="736"/>
      <c r="Z32" s="736"/>
      <c r="AA32" s="736"/>
      <c r="AB32" s="736"/>
      <c r="AC32" s="736"/>
      <c r="AD32" s="736"/>
      <c r="AE32" s="736"/>
      <c r="AF32" s="736"/>
      <c r="AG32" s="736"/>
      <c r="AH32" s="736"/>
      <c r="AI32" s="736"/>
      <c r="AJ32" s="736"/>
      <c r="AK32" s="736"/>
      <c r="AL32" s="736"/>
      <c r="AM32" s="736"/>
      <c r="AN32" s="736"/>
      <c r="AO32" s="736"/>
      <c r="AP32" s="736"/>
      <c r="AQ32" s="736"/>
      <c r="AR32" s="552"/>
      <c r="AS32" s="1534" t="s">
        <v>742</v>
      </c>
      <c r="AT32" s="552"/>
      <c r="BO32" s="1640">
        <v>46</v>
      </c>
    </row>
    <row s="1375" customFormat="1" customHeight="1" ht="48.29999999999999">
      <c r="A33" s="2063"/>
      <c r="B33" s="2062" t="s">
        <v>783</v>
      </c>
      <c r="C33" s="2062" t="s">
        <v>784</v>
      </c>
      <c r="D33" s="2061" t="s">
        <v>720</v>
      </c>
      <c r="E33" s="2065" t="s">
        <v>731</v>
      </c>
      <c r="F33" s="2065" t="s">
        <v>731</v>
      </c>
      <c r="G33" s="1645"/>
      <c r="H33" s="2030"/>
      <c r="I33" s="1684">
        <v>14</v>
      </c>
      <c r="J33" s="2043" t="s">
        <v>785</v>
      </c>
      <c r="K33" s="2032" t="s">
        <v>786</v>
      </c>
      <c r="L33" s="736"/>
      <c r="M33" s="566"/>
      <c r="N33" s="736"/>
      <c r="O33" s="736"/>
      <c r="P33" s="736"/>
      <c r="Q33" s="736"/>
      <c r="R33" s="736"/>
      <c r="S33" s="736"/>
      <c r="T33" s="736"/>
      <c r="U33" s="736"/>
      <c r="V33" s="736"/>
      <c r="W33" s="736"/>
      <c r="X33" s="736"/>
      <c r="Y33" s="736"/>
      <c r="Z33" s="736"/>
      <c r="AA33" s="736"/>
      <c r="AB33" s="736"/>
      <c r="AC33" s="736"/>
      <c r="AD33" s="736"/>
      <c r="AE33" s="736"/>
      <c r="AF33" s="736"/>
      <c r="AG33" s="736"/>
      <c r="AH33" s="736"/>
      <c r="AI33" s="736"/>
      <c r="AJ33" s="736"/>
      <c r="AK33" s="736"/>
      <c r="AL33" s="736"/>
      <c r="AM33" s="736"/>
      <c r="AN33" s="736"/>
      <c r="AO33" s="736"/>
      <c r="AP33" s="736"/>
      <c r="AQ33" s="736"/>
      <c r="AR33" s="552"/>
      <c r="AS33" s="1534" t="s">
        <v>742</v>
      </c>
      <c r="AT33" s="552"/>
      <c r="AU33" s="1645"/>
      <c r="AV33" s="1645"/>
      <c r="BA33" s="1645"/>
      <c r="BD33" s="553"/>
      <c r="BJ33" s="1641"/>
      <c r="BK33" s="1641"/>
      <c r="BL33" s="1641"/>
      <c r="BM33" s="1641"/>
      <c r="BN33" s="1641"/>
      <c r="BO33" s="1375">
        <v>46</v>
      </c>
    </row>
    <row customHeight="1" ht="108">
      <c r="A34" s="2063"/>
      <c r="B34" s="2062" t="s">
        <v>787</v>
      </c>
      <c r="C34" s="2062" t="s">
        <v>788</v>
      </c>
      <c r="D34" s="2061" t="s">
        <v>730</v>
      </c>
      <c r="E34" s="2065" t="s">
        <v>731</v>
      </c>
      <c r="F34" s="2065" t="s">
        <v>731</v>
      </c>
      <c r="G34" s="1645" t="s">
        <v>661</v>
      </c>
      <c r="H34" s="2030"/>
      <c r="I34" s="2041">
        <v>15</v>
      </c>
      <c r="J34" s="2042" t="s">
        <v>789</v>
      </c>
      <c r="K34" s="2027" t="s">
        <v>379</v>
      </c>
      <c r="L34" s="394"/>
      <c r="M34" s="1173"/>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c r="AP34" s="394"/>
      <c r="AQ34" s="394"/>
      <c r="AR34" s="552"/>
      <c r="AS34" s="1534" t="s">
        <v>734</v>
      </c>
      <c r="AT34" s="552"/>
      <c r="BO34" s="1640">
        <v>103</v>
      </c>
    </row>
    <row s="1650" customFormat="1" customHeight="1" ht="11.549999999999999">
      <c r="A35" s="996"/>
      <c r="B35" s="996"/>
      <c r="C35" s="996"/>
      <c r="D35" s="996"/>
      <c r="E35" s="996"/>
      <c r="F35" s="1645"/>
      <c r="G35" s="1645"/>
      <c r="H35" s="360"/>
      <c r="N35" s="1650"/>
      <c r="O35" s="1650"/>
      <c r="P35" s="1650"/>
      <c r="Q35" s="1650"/>
      <c r="R35" s="1650"/>
      <c r="S35" s="1650"/>
      <c r="T35" s="1650"/>
      <c r="U35" s="1650"/>
      <c r="V35" s="1650"/>
      <c r="W35" s="1650"/>
      <c r="X35" s="1650"/>
      <c r="Y35" s="1650"/>
      <c r="Z35" s="1650"/>
      <c r="AA35" s="1650"/>
      <c r="AB35" s="1650"/>
      <c r="AC35" s="1650"/>
      <c r="AD35" s="1650"/>
      <c r="AE35" s="1650"/>
      <c r="AF35" s="1650"/>
      <c r="AG35" s="1650"/>
      <c r="AH35" s="1650"/>
      <c r="AI35" s="1650"/>
      <c r="AJ35" s="1650"/>
      <c r="AK35" s="1650"/>
      <c r="AL35" s="1650"/>
      <c r="AM35" s="1650"/>
      <c r="AN35" s="1650"/>
      <c r="AO35" s="1650"/>
      <c r="AP35" s="1650"/>
      <c r="AQ35" s="1650"/>
      <c r="AR35" s="1375"/>
      <c r="AT35" s="1375"/>
      <c r="AU35" s="1645"/>
      <c r="AV35" s="1645"/>
      <c r="AW35" s="1375"/>
      <c r="AX35" s="1375"/>
      <c r="AY35" s="1375"/>
      <c r="AZ35" s="1375"/>
      <c r="BA35" s="1645"/>
      <c r="BB35" s="1375"/>
      <c r="BC35" s="1375"/>
      <c r="BD35" s="553"/>
      <c r="BE35" s="1375"/>
      <c r="BF35" s="1375"/>
      <c r="BG35" s="1375"/>
      <c r="BH35" s="1375"/>
      <c r="BI35" s="1375"/>
      <c r="BJ35" s="1641"/>
      <c r="BK35" s="631"/>
      <c r="BL35" s="631"/>
      <c r="BM35" s="631"/>
      <c r="BN35" s="631"/>
      <c r="BO35" s="1650">
        <v>11</v>
      </c>
    </row>
    <row s="1650" customFormat="1" customHeight="1" ht="11.549999999999999">
      <c r="A36" s="996"/>
      <c r="B36" s="996"/>
      <c r="C36" s="996"/>
      <c r="D36" s="996"/>
      <c r="E36" s="996"/>
      <c r="F36" s="1645"/>
      <c r="G36" s="1645"/>
      <c r="H36" s="360"/>
      <c r="N36" s="1650"/>
      <c r="O36" s="1650"/>
      <c r="P36" s="1650"/>
      <c r="Q36" s="1650"/>
      <c r="R36" s="1650"/>
      <c r="S36" s="1650"/>
      <c r="T36" s="1650"/>
      <c r="U36" s="1650"/>
      <c r="V36" s="1650"/>
      <c r="W36" s="1650"/>
      <c r="X36" s="1650"/>
      <c r="Y36" s="1650"/>
      <c r="Z36" s="1650"/>
      <c r="AA36" s="1650"/>
      <c r="AB36" s="1650"/>
      <c r="AC36" s="1650"/>
      <c r="AD36" s="1650"/>
      <c r="AE36" s="1650"/>
      <c r="AF36" s="1650"/>
      <c r="AG36" s="1650"/>
      <c r="AH36" s="1650"/>
      <c r="AI36" s="1650"/>
      <c r="AJ36" s="1650"/>
      <c r="AK36" s="1650"/>
      <c r="AL36" s="1650"/>
      <c r="AM36" s="1650"/>
      <c r="AN36" s="1650"/>
      <c r="AO36" s="1650"/>
      <c r="AP36" s="1650"/>
      <c r="AQ36" s="1650"/>
      <c r="AR36" s="1375"/>
      <c r="AT36" s="1375"/>
      <c r="AU36" s="1645"/>
      <c r="AV36" s="1645"/>
      <c r="AW36" s="1375"/>
      <c r="AX36" s="1375"/>
      <c r="AY36" s="1375"/>
      <c r="AZ36" s="1375"/>
      <c r="BA36" s="1645"/>
      <c r="BB36" s="1375"/>
      <c r="BC36" s="1375"/>
      <c r="BD36" s="553"/>
      <c r="BE36" s="1375"/>
      <c r="BF36" s="1375"/>
      <c r="BG36" s="1375"/>
      <c r="BH36" s="1375"/>
      <c r="BI36" s="1375"/>
      <c r="BJ36" s="1641"/>
      <c r="BK36" s="631"/>
      <c r="BL36" s="631"/>
      <c r="BM36" s="631"/>
      <c r="BN36" s="631"/>
      <c r="BO36" s="1650">
        <v>11</v>
      </c>
    </row>
    <row s="1650" customFormat="1" customHeight="1" ht="11.549999999999999">
      <c r="A37" s="996"/>
      <c r="B37" s="996"/>
      <c r="C37" s="996"/>
      <c r="D37" s="996"/>
      <c r="E37" s="996"/>
      <c r="F37" s="1645"/>
      <c r="G37" s="1645"/>
      <c r="H37" s="360"/>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1"/>
      <c r="AP37" s="631"/>
      <c r="AQ37" s="631"/>
      <c r="AR37" s="1375"/>
      <c r="AT37" s="1375"/>
      <c r="AU37" s="1645"/>
      <c r="AV37" s="1645"/>
      <c r="AW37" s="1375"/>
      <c r="AX37" s="1375"/>
      <c r="AY37" s="1375"/>
      <c r="AZ37" s="1375"/>
      <c r="BA37" s="1645"/>
      <c r="BB37" s="1375"/>
      <c r="BC37" s="1375"/>
      <c r="BD37" s="553"/>
      <c r="BE37" s="1375"/>
      <c r="BF37" s="1375"/>
      <c r="BG37" s="1375"/>
      <c r="BH37" s="1375"/>
      <c r="BI37" s="1375"/>
      <c r="BJ37" s="1641"/>
      <c r="BK37" s="631"/>
      <c r="BL37" s="631"/>
      <c r="BM37" s="631"/>
      <c r="BN37" s="631"/>
      <c r="BO37" s="1650">
        <v>11</v>
      </c>
    </row>
    <row s="1650" customFormat="1" customHeight="1" ht="11.549999999999999">
      <c r="A38" s="996"/>
      <c r="B38" s="996"/>
      <c r="C38" s="996"/>
      <c r="D38" s="996"/>
      <c r="E38" s="996"/>
      <c r="F38" s="1645"/>
      <c r="G38" s="1645"/>
      <c r="H38" s="360"/>
      <c r="N38" s="1650"/>
      <c r="O38" s="1650"/>
      <c r="P38" s="1650"/>
      <c r="Q38" s="1650"/>
      <c r="R38" s="1650"/>
      <c r="S38" s="1650"/>
      <c r="T38" s="1650"/>
      <c r="U38" s="1650"/>
      <c r="V38" s="1650"/>
      <c r="W38" s="1650"/>
      <c r="X38" s="1650"/>
      <c r="Y38" s="1650"/>
      <c r="Z38" s="1650"/>
      <c r="AA38" s="1650"/>
      <c r="AB38" s="1650"/>
      <c r="AC38" s="1650"/>
      <c r="AD38" s="1650"/>
      <c r="AE38" s="1650"/>
      <c r="AF38" s="1650"/>
      <c r="AG38" s="1650"/>
      <c r="AH38" s="1650"/>
      <c r="AI38" s="1650"/>
      <c r="AJ38" s="1650"/>
      <c r="AK38" s="1650"/>
      <c r="AL38" s="1650"/>
      <c r="AM38" s="1650"/>
      <c r="AN38" s="1650"/>
      <c r="AO38" s="1650"/>
      <c r="AP38" s="1650"/>
      <c r="AQ38" s="1650"/>
      <c r="AR38" s="1375"/>
      <c r="AT38" s="1375"/>
      <c r="AU38" s="1645"/>
      <c r="AV38" s="1645"/>
      <c r="AW38" s="1375"/>
      <c r="AX38" s="1375"/>
      <c r="AY38" s="1375"/>
      <c r="AZ38" s="1375"/>
      <c r="BA38" s="1645"/>
      <c r="BB38" s="1375"/>
      <c r="BC38" s="1375"/>
      <c r="BD38" s="553"/>
      <c r="BE38" s="1375"/>
      <c r="BF38" s="1375"/>
      <c r="BG38" s="1375"/>
      <c r="BH38" s="1375"/>
      <c r="BI38" s="1375"/>
      <c r="BJ38" s="1641"/>
      <c r="BK38" s="631"/>
      <c r="BL38" s="631"/>
      <c r="BM38" s="631"/>
      <c r="BN38" s="631"/>
      <c r="BO38" s="1650">
        <v>11</v>
      </c>
    </row>
    <row s="1650" customFormat="1" customHeight="1" ht="11.549999999999999">
      <c r="A39" s="996"/>
      <c r="B39" s="996"/>
      <c r="C39" s="996"/>
      <c r="D39" s="996"/>
      <c r="E39" s="996"/>
      <c r="F39" s="1645"/>
      <c r="G39" s="1645"/>
      <c r="H39" s="360"/>
      <c r="N39" s="1650"/>
      <c r="O39" s="1650"/>
      <c r="P39" s="1650"/>
      <c r="Q39" s="1650"/>
      <c r="R39" s="1650"/>
      <c r="S39" s="1650"/>
      <c r="T39" s="1650"/>
      <c r="U39" s="1650"/>
      <c r="V39" s="1650"/>
      <c r="W39" s="1650"/>
      <c r="X39" s="1650"/>
      <c r="Y39" s="1650"/>
      <c r="Z39" s="1650"/>
      <c r="AA39" s="1650"/>
      <c r="AB39" s="1650"/>
      <c r="AC39" s="1650"/>
      <c r="AD39" s="1650"/>
      <c r="AE39" s="1650"/>
      <c r="AF39" s="1650"/>
      <c r="AG39" s="1650"/>
      <c r="AH39" s="1650"/>
      <c r="AI39" s="1650"/>
      <c r="AJ39" s="1650"/>
      <c r="AK39" s="1650"/>
      <c r="AL39" s="1650"/>
      <c r="AM39" s="1650"/>
      <c r="AN39" s="1650"/>
      <c r="AO39" s="1650"/>
      <c r="AP39" s="1650"/>
      <c r="AQ39" s="1650"/>
      <c r="AR39" s="1375"/>
      <c r="AT39" s="1375"/>
      <c r="AU39" s="1645"/>
      <c r="AV39" s="1645"/>
      <c r="AW39" s="1375"/>
      <c r="AX39" s="1375"/>
      <c r="AY39" s="1375"/>
      <c r="AZ39" s="1375"/>
      <c r="BA39" s="1645"/>
      <c r="BB39" s="1375"/>
      <c r="BC39" s="1375"/>
      <c r="BD39" s="553"/>
      <c r="BE39" s="1375"/>
      <c r="BF39" s="1375"/>
      <c r="BG39" s="1375"/>
      <c r="BH39" s="1375"/>
      <c r="BI39" s="1375"/>
      <c r="BJ39" s="1641"/>
      <c r="BK39" s="631"/>
      <c r="BL39" s="631"/>
      <c r="BM39" s="631"/>
      <c r="BN39" s="631"/>
      <c r="BO39" s="1650">
        <v>11</v>
      </c>
    </row>
    <row s="1650" customFormat="1" customHeight="1" ht="11.549999999999999">
      <c r="A40" s="996"/>
      <c r="B40" s="996"/>
      <c r="C40" s="996"/>
      <c r="D40" s="996"/>
      <c r="E40" s="996"/>
      <c r="F40" s="1645"/>
      <c r="G40" s="1645"/>
      <c r="H40" s="360"/>
      <c r="N40" s="1650"/>
      <c r="O40" s="1650"/>
      <c r="P40" s="1650"/>
      <c r="Q40" s="1650"/>
      <c r="R40" s="1650"/>
      <c r="S40" s="1650"/>
      <c r="T40" s="1650"/>
      <c r="U40" s="1650"/>
      <c r="V40" s="1650"/>
      <c r="W40" s="1650"/>
      <c r="X40" s="1650"/>
      <c r="Y40" s="1650"/>
      <c r="Z40" s="1650"/>
      <c r="AA40" s="1650"/>
      <c r="AB40" s="1650"/>
      <c r="AC40" s="1650"/>
      <c r="AD40" s="1650"/>
      <c r="AE40" s="1650"/>
      <c r="AF40" s="1650"/>
      <c r="AG40" s="1650"/>
      <c r="AH40" s="1650"/>
      <c r="AI40" s="1650"/>
      <c r="AJ40" s="1650"/>
      <c r="AK40" s="1650"/>
      <c r="AL40" s="1650"/>
      <c r="AM40" s="1650"/>
      <c r="AN40" s="1650"/>
      <c r="AO40" s="1650"/>
      <c r="AP40" s="1650"/>
      <c r="AQ40" s="1650"/>
      <c r="AR40" s="1375"/>
      <c r="AT40" s="1375"/>
      <c r="AU40" s="1645"/>
      <c r="AV40" s="1645"/>
      <c r="AW40" s="1375"/>
      <c r="AX40" s="1375"/>
      <c r="AY40" s="1375"/>
      <c r="AZ40" s="1375"/>
      <c r="BA40" s="1645"/>
      <c r="BB40" s="1375"/>
      <c r="BC40" s="1375"/>
      <c r="BD40" s="553"/>
      <c r="BE40" s="1375"/>
      <c r="BF40" s="1375"/>
      <c r="BG40" s="1375"/>
      <c r="BH40" s="1375"/>
      <c r="BI40" s="1375"/>
      <c r="BJ40" s="1641"/>
      <c r="BK40" s="631"/>
      <c r="BL40" s="631"/>
      <c r="BM40" s="631"/>
      <c r="BN40" s="631"/>
      <c r="BO40" s="1650">
        <v>11</v>
      </c>
    </row>
    <row s="1650" customFormat="1" customHeight="1" ht="11.549999999999999">
      <c r="A41" s="996"/>
      <c r="B41" s="996"/>
      <c r="C41" s="996"/>
      <c r="D41" s="996"/>
      <c r="E41" s="996"/>
      <c r="F41" s="1645"/>
      <c r="G41" s="1645"/>
      <c r="H41" s="360"/>
      <c r="N41" s="1650"/>
      <c r="O41" s="1650"/>
      <c r="P41" s="1650"/>
      <c r="Q41" s="1650"/>
      <c r="R41" s="1650"/>
      <c r="S41" s="1650"/>
      <c r="T41" s="1650"/>
      <c r="U41" s="1650"/>
      <c r="V41" s="1650"/>
      <c r="W41" s="1650"/>
      <c r="X41" s="1650"/>
      <c r="Y41" s="1650"/>
      <c r="Z41" s="1650"/>
      <c r="AA41" s="1650"/>
      <c r="AB41" s="1650"/>
      <c r="AC41" s="1650"/>
      <c r="AD41" s="1650"/>
      <c r="AE41" s="1650"/>
      <c r="AF41" s="1650"/>
      <c r="AG41" s="1650"/>
      <c r="AH41" s="1650"/>
      <c r="AI41" s="1650"/>
      <c r="AJ41" s="1650"/>
      <c r="AK41" s="1650"/>
      <c r="AL41" s="1650"/>
      <c r="AM41" s="1650"/>
      <c r="AN41" s="1650"/>
      <c r="AO41" s="1650"/>
      <c r="AP41" s="1650"/>
      <c r="AQ41" s="1650"/>
      <c r="AR41" s="1375"/>
      <c r="AT41" s="1375"/>
      <c r="AU41" s="1645"/>
      <c r="AV41" s="1645"/>
      <c r="AW41" s="1375"/>
      <c r="AX41" s="1375"/>
      <c r="AY41" s="1375"/>
      <c r="AZ41" s="1375"/>
      <c r="BA41" s="1645"/>
      <c r="BB41" s="1375"/>
      <c r="BC41" s="1375"/>
      <c r="BD41" s="553"/>
      <c r="BE41" s="1375"/>
      <c r="BF41" s="1375"/>
      <c r="BG41" s="1375"/>
      <c r="BH41" s="1375"/>
      <c r="BI41" s="1375"/>
      <c r="BJ41" s="1641"/>
      <c r="BK41" s="631"/>
      <c r="BL41" s="631"/>
      <c r="BM41" s="631"/>
      <c r="BN41" s="631"/>
      <c r="BO41" s="1650">
        <v>11</v>
      </c>
    </row>
    <row s="1650" customFormat="1" customHeight="1" ht="11.549999999999999">
      <c r="A42" s="996"/>
      <c r="B42" s="996"/>
      <c r="C42" s="996"/>
      <c r="D42" s="996"/>
      <c r="E42" s="996"/>
      <c r="F42" s="1645"/>
      <c r="G42" s="1645"/>
      <c r="H42" s="36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1650"/>
      <c r="AJ42" s="1650"/>
      <c r="AK42" s="1650"/>
      <c r="AL42" s="1650"/>
      <c r="AM42" s="1650"/>
      <c r="AN42" s="1650"/>
      <c r="AO42" s="1650"/>
      <c r="AP42" s="1650"/>
      <c r="AQ42" s="1650"/>
      <c r="AR42" s="1375"/>
      <c r="AT42" s="1375"/>
      <c r="AU42" s="1645"/>
      <c r="AV42" s="1645"/>
      <c r="AW42" s="1375"/>
      <c r="AX42" s="1375"/>
      <c r="AY42" s="1375"/>
      <c r="AZ42" s="1375"/>
      <c r="BA42" s="1645"/>
      <c r="BB42" s="1375"/>
      <c r="BC42" s="1375"/>
      <c r="BD42" s="553"/>
      <c r="BE42" s="1375"/>
      <c r="BF42" s="1375"/>
      <c r="BG42" s="1375"/>
      <c r="BH42" s="1375"/>
      <c r="BI42" s="1375"/>
      <c r="BJ42" s="1641"/>
      <c r="BK42" s="631"/>
      <c r="BL42" s="631"/>
      <c r="BM42" s="631"/>
      <c r="BN42" s="631"/>
      <c r="BO42" s="1650">
        <v>11</v>
      </c>
    </row>
    <row s="1650" customFormat="1" customHeight="1" ht="11.549999999999999">
      <c r="A43" s="996"/>
      <c r="B43" s="996"/>
      <c r="C43" s="996"/>
      <c r="D43" s="996"/>
      <c r="E43" s="996"/>
      <c r="F43" s="1645"/>
      <c r="G43" s="1645"/>
      <c r="H43" s="360"/>
      <c r="N43" s="1650"/>
      <c r="O43" s="1650"/>
      <c r="P43" s="1650"/>
      <c r="Q43" s="1650"/>
      <c r="R43" s="1650"/>
      <c r="S43" s="1650"/>
      <c r="T43" s="1650"/>
      <c r="U43" s="1650"/>
      <c r="V43" s="1650"/>
      <c r="W43" s="1650"/>
      <c r="X43" s="1650"/>
      <c r="Y43" s="1650"/>
      <c r="Z43" s="1650"/>
      <c r="AA43" s="1650"/>
      <c r="AB43" s="1650"/>
      <c r="AC43" s="1650"/>
      <c r="AD43" s="1650"/>
      <c r="AE43" s="1650"/>
      <c r="AF43" s="1650"/>
      <c r="AG43" s="1650"/>
      <c r="AH43" s="1650"/>
      <c r="AI43" s="1650"/>
      <c r="AJ43" s="1650"/>
      <c r="AK43" s="1650"/>
      <c r="AL43" s="1650"/>
      <c r="AM43" s="1650"/>
      <c r="AN43" s="1650"/>
      <c r="AO43" s="1650"/>
      <c r="AP43" s="1650"/>
      <c r="AQ43" s="1650"/>
      <c r="AR43" s="1375"/>
      <c r="AT43" s="1375"/>
      <c r="AU43" s="1645"/>
      <c r="AV43" s="1645"/>
      <c r="AW43" s="1375"/>
      <c r="AX43" s="1375"/>
      <c r="AY43" s="1375"/>
      <c r="AZ43" s="1375"/>
      <c r="BA43" s="1645"/>
      <c r="BB43" s="1375"/>
      <c r="BC43" s="1375"/>
      <c r="BD43" s="553"/>
      <c r="BE43" s="1375"/>
      <c r="BF43" s="1375"/>
      <c r="BG43" s="1375"/>
      <c r="BH43" s="1375"/>
      <c r="BI43" s="1375"/>
      <c r="BJ43" s="1641"/>
      <c r="BK43" s="631"/>
      <c r="BL43" s="631"/>
      <c r="BM43" s="631"/>
      <c r="BN43" s="631"/>
      <c r="BO43" s="1650">
        <v>11</v>
      </c>
    </row>
    <row s="1650" customFormat="1" customHeight="1" ht="11.549999999999999">
      <c r="A44" s="996"/>
      <c r="B44" s="996"/>
      <c r="C44" s="996"/>
      <c r="D44" s="996"/>
      <c r="E44" s="996"/>
      <c r="F44" s="1645"/>
      <c r="G44" s="1645"/>
      <c r="H44" s="360"/>
      <c r="N44" s="1650"/>
      <c r="O44" s="1650"/>
      <c r="P44" s="1650"/>
      <c r="Q44" s="1650"/>
      <c r="R44" s="1650"/>
      <c r="S44" s="1650"/>
      <c r="T44" s="1650"/>
      <c r="U44" s="1650"/>
      <c r="V44" s="1650"/>
      <c r="W44" s="1650"/>
      <c r="X44" s="1650"/>
      <c r="Y44" s="1650"/>
      <c r="Z44" s="1650"/>
      <c r="AA44" s="1650"/>
      <c r="AB44" s="1650"/>
      <c r="AC44" s="1650"/>
      <c r="AD44" s="1650"/>
      <c r="AE44" s="1650"/>
      <c r="AF44" s="1650"/>
      <c r="AG44" s="1650"/>
      <c r="AH44" s="1650"/>
      <c r="AI44" s="1650"/>
      <c r="AJ44" s="1650"/>
      <c r="AK44" s="1650"/>
      <c r="AL44" s="1650"/>
      <c r="AM44" s="1650"/>
      <c r="AN44" s="1650"/>
      <c r="AO44" s="1650"/>
      <c r="AP44" s="1650"/>
      <c r="AQ44" s="1650"/>
      <c r="AR44" s="1375"/>
      <c r="AT44" s="1375"/>
      <c r="AU44" s="1645"/>
      <c r="AV44" s="1645"/>
      <c r="AW44" s="1375"/>
      <c r="AX44" s="1375"/>
      <c r="AY44" s="1375"/>
      <c r="AZ44" s="1375"/>
      <c r="BA44" s="1645"/>
      <c r="BB44" s="1375"/>
      <c r="BC44" s="1375"/>
      <c r="BD44" s="553"/>
      <c r="BE44" s="1375"/>
      <c r="BF44" s="1375"/>
      <c r="BG44" s="1375"/>
      <c r="BH44" s="1375"/>
      <c r="BI44" s="1375"/>
      <c r="BJ44" s="1641"/>
      <c r="BK44" s="631"/>
      <c r="BL44" s="631"/>
      <c r="BM44" s="631"/>
      <c r="BN44" s="631"/>
      <c r="BO44" s="1650">
        <v>11</v>
      </c>
    </row>
    <row s="1650" customFormat="1" customHeight="1" ht="11.549999999999999">
      <c r="A45" s="996"/>
      <c r="B45" s="996"/>
      <c r="C45" s="996"/>
      <c r="D45" s="996"/>
      <c r="E45" s="996"/>
      <c r="F45" s="1645"/>
      <c r="G45" s="1645"/>
      <c r="H45" s="360"/>
      <c r="N45" s="1650"/>
      <c r="O45" s="1650"/>
      <c r="P45" s="1650"/>
      <c r="Q45" s="1650"/>
      <c r="R45" s="1650"/>
      <c r="S45" s="1650"/>
      <c r="T45" s="1650"/>
      <c r="U45" s="1650"/>
      <c r="V45" s="1650"/>
      <c r="W45" s="1650"/>
      <c r="X45" s="1650"/>
      <c r="Y45" s="1650"/>
      <c r="Z45" s="1650"/>
      <c r="AA45" s="1650"/>
      <c r="AB45" s="1650"/>
      <c r="AC45" s="1650"/>
      <c r="AD45" s="1650"/>
      <c r="AE45" s="1650"/>
      <c r="AF45" s="1650"/>
      <c r="AG45" s="1650"/>
      <c r="AH45" s="1650"/>
      <c r="AI45" s="1650"/>
      <c r="AJ45" s="1650"/>
      <c r="AK45" s="1650"/>
      <c r="AL45" s="1650"/>
      <c r="AM45" s="1650"/>
      <c r="AN45" s="1650"/>
      <c r="AO45" s="1650"/>
      <c r="AP45" s="1650"/>
      <c r="AQ45" s="1650"/>
      <c r="AR45" s="1375"/>
      <c r="AT45" s="1375"/>
      <c r="AU45" s="1645"/>
      <c r="AV45" s="1645"/>
      <c r="AW45" s="1375"/>
      <c r="AX45" s="1375"/>
      <c r="AY45" s="1375"/>
      <c r="AZ45" s="1375"/>
      <c r="BA45" s="1645"/>
      <c r="BB45" s="1375"/>
      <c r="BC45" s="1375"/>
      <c r="BD45" s="553"/>
      <c r="BE45" s="1375"/>
      <c r="BF45" s="1375"/>
      <c r="BG45" s="1375"/>
      <c r="BH45" s="1375"/>
      <c r="BI45" s="1375"/>
      <c r="BJ45" s="1641"/>
      <c r="BK45" s="631"/>
      <c r="BL45" s="631"/>
      <c r="BM45" s="631"/>
      <c r="BN45" s="631"/>
      <c r="BO45" s="1650">
        <v>11</v>
      </c>
    </row>
    <row s="1650" customFormat="1" customHeight="1" ht="11.549999999999999">
      <c r="A46" s="996"/>
      <c r="B46" s="996"/>
      <c r="C46" s="996"/>
      <c r="D46" s="996"/>
      <c r="E46" s="996"/>
      <c r="F46" s="1645"/>
      <c r="G46" s="1645"/>
      <c r="H46" s="360"/>
      <c r="N46" s="1650"/>
      <c r="O46" s="1650"/>
      <c r="P46" s="1650"/>
      <c r="Q46" s="1650"/>
      <c r="R46" s="1650"/>
      <c r="S46" s="1650"/>
      <c r="T46" s="1650"/>
      <c r="U46" s="1650"/>
      <c r="V46" s="1650"/>
      <c r="W46" s="1650"/>
      <c r="X46" s="1650"/>
      <c r="Y46" s="1650"/>
      <c r="Z46" s="1650"/>
      <c r="AA46" s="1650"/>
      <c r="AB46" s="1650"/>
      <c r="AC46" s="1650"/>
      <c r="AD46" s="1650"/>
      <c r="AE46" s="1650"/>
      <c r="AF46" s="1650"/>
      <c r="AG46" s="1650"/>
      <c r="AH46" s="1650"/>
      <c r="AI46" s="1650"/>
      <c r="AJ46" s="1650"/>
      <c r="AK46" s="1650"/>
      <c r="AL46" s="1650"/>
      <c r="AM46" s="1650"/>
      <c r="AN46" s="1650"/>
      <c r="AO46" s="1650"/>
      <c r="AP46" s="1650"/>
      <c r="AQ46" s="1650"/>
      <c r="AR46" s="1375"/>
      <c r="AT46" s="1375"/>
      <c r="AU46" s="1645"/>
      <c r="AV46" s="1645"/>
      <c r="AW46" s="1375"/>
      <c r="AX46" s="1375"/>
      <c r="AY46" s="1375"/>
      <c r="AZ46" s="1375"/>
      <c r="BA46" s="1645"/>
      <c r="BB46" s="1375"/>
      <c r="BC46" s="1375"/>
      <c r="BD46" s="553"/>
      <c r="BE46" s="1375"/>
      <c r="BF46" s="1375"/>
      <c r="BG46" s="1375"/>
      <c r="BH46" s="1375"/>
      <c r="BI46" s="1375"/>
      <c r="BJ46" s="1641"/>
      <c r="BK46" s="631"/>
      <c r="BL46" s="631"/>
      <c r="BM46" s="631"/>
      <c r="BN46" s="631"/>
      <c r="BO46" s="1650">
        <v>11</v>
      </c>
    </row>
    <row s="1650" customFormat="1" customHeight="1" ht="11.549999999999999">
      <c r="A47" s="996"/>
      <c r="B47" s="996"/>
      <c r="C47" s="996"/>
      <c r="D47" s="996"/>
      <c r="E47" s="996"/>
      <c r="F47" s="1645"/>
      <c r="G47" s="1645"/>
      <c r="H47" s="360"/>
      <c r="N47" s="1650"/>
      <c r="O47" s="1650"/>
      <c r="P47" s="1650"/>
      <c r="Q47" s="1650"/>
      <c r="R47" s="1650"/>
      <c r="S47" s="1650"/>
      <c r="T47" s="1650"/>
      <c r="U47" s="1650"/>
      <c r="V47" s="1650"/>
      <c r="W47" s="1650"/>
      <c r="X47" s="1650"/>
      <c r="Y47" s="1650"/>
      <c r="Z47" s="1650"/>
      <c r="AA47" s="1650"/>
      <c r="AB47" s="1650"/>
      <c r="AC47" s="1650"/>
      <c r="AD47" s="1650"/>
      <c r="AE47" s="1650"/>
      <c r="AF47" s="1650"/>
      <c r="AG47" s="1650"/>
      <c r="AH47" s="1650"/>
      <c r="AI47" s="1650"/>
      <c r="AJ47" s="1650"/>
      <c r="AK47" s="1650"/>
      <c r="AL47" s="1650"/>
      <c r="AM47" s="1650"/>
      <c r="AN47" s="1650"/>
      <c r="AO47" s="1650"/>
      <c r="AP47" s="1650"/>
      <c r="AQ47" s="1650"/>
      <c r="AR47" s="1375"/>
      <c r="AT47" s="1375"/>
      <c r="AU47" s="1645"/>
      <c r="AV47" s="1645"/>
      <c r="AW47" s="1375"/>
      <c r="AX47" s="1375"/>
      <c r="AY47" s="1375"/>
      <c r="AZ47" s="1375"/>
      <c r="BA47" s="1645"/>
      <c r="BB47" s="1375"/>
      <c r="BC47" s="1375"/>
      <c r="BD47" s="553"/>
      <c r="BE47" s="1375"/>
      <c r="BF47" s="1375"/>
      <c r="BG47" s="1375"/>
      <c r="BH47" s="1375"/>
      <c r="BI47" s="1375"/>
      <c r="BJ47" s="1641"/>
      <c r="BK47" s="631"/>
      <c r="BL47" s="631"/>
      <c r="BM47" s="631"/>
      <c r="BN47" s="631"/>
      <c r="BO47" s="1650">
        <v>11</v>
      </c>
    </row>
    <row s="1650" customFormat="1" customHeight="1" ht="11.549999999999999">
      <c r="A48" s="996"/>
      <c r="B48" s="996"/>
      <c r="C48" s="996"/>
      <c r="D48" s="996"/>
      <c r="E48" s="996"/>
      <c r="F48" s="1645"/>
      <c r="G48" s="1645"/>
      <c r="H48" s="360"/>
      <c r="N48" s="1650"/>
      <c r="O48" s="1650"/>
      <c r="P48" s="1650"/>
      <c r="Q48" s="1650"/>
      <c r="R48" s="1650"/>
      <c r="S48" s="1650"/>
      <c r="T48" s="1650"/>
      <c r="U48" s="1650"/>
      <c r="V48" s="1650"/>
      <c r="W48" s="1650"/>
      <c r="X48" s="1650"/>
      <c r="Y48" s="1650"/>
      <c r="Z48" s="1650"/>
      <c r="AA48" s="1650"/>
      <c r="AB48" s="1650"/>
      <c r="AC48" s="1650"/>
      <c r="AD48" s="1650"/>
      <c r="AE48" s="1650"/>
      <c r="AF48" s="1650"/>
      <c r="AG48" s="1650"/>
      <c r="AH48" s="1650"/>
      <c r="AI48" s="1650"/>
      <c r="AJ48" s="1650"/>
      <c r="AK48" s="1650"/>
      <c r="AL48" s="1650"/>
      <c r="AM48" s="1650"/>
      <c r="AN48" s="1650"/>
      <c r="AO48" s="1650"/>
      <c r="AP48" s="1650"/>
      <c r="AQ48" s="1650"/>
      <c r="AR48" s="1375"/>
      <c r="AT48" s="1375"/>
      <c r="AU48" s="1645"/>
      <c r="AV48" s="1645"/>
      <c r="AW48" s="1375"/>
      <c r="AX48" s="1375"/>
      <c r="AY48" s="1375"/>
      <c r="AZ48" s="1375"/>
      <c r="BA48" s="1645"/>
      <c r="BB48" s="1375"/>
      <c r="BC48" s="1375"/>
      <c r="BD48" s="553"/>
      <c r="BE48" s="1375"/>
      <c r="BF48" s="1375"/>
      <c r="BG48" s="1375"/>
      <c r="BH48" s="1375"/>
      <c r="BI48" s="1375"/>
      <c r="BJ48" s="1641"/>
      <c r="BK48" s="631"/>
      <c r="BL48" s="631"/>
      <c r="BM48" s="631"/>
      <c r="BN48" s="631"/>
      <c r="BO48" s="1650">
        <v>11</v>
      </c>
    </row>
    <row s="1650" customFormat="1" customHeight="1" ht="11.549999999999999">
      <c r="A49" s="996"/>
      <c r="B49" s="996"/>
      <c r="C49" s="996"/>
      <c r="D49" s="996"/>
      <c r="E49" s="996"/>
      <c r="F49" s="1645"/>
      <c r="G49" s="1645"/>
      <c r="H49" s="36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650"/>
      <c r="AM49" s="1650"/>
      <c r="AN49" s="1650"/>
      <c r="AO49" s="1650"/>
      <c r="AP49" s="1650"/>
      <c r="AQ49" s="1650"/>
      <c r="AR49" s="1375"/>
      <c r="AT49" s="1375"/>
      <c r="AU49" s="1645"/>
      <c r="AV49" s="1645"/>
      <c r="AW49" s="1375"/>
      <c r="AX49" s="1375"/>
      <c r="AY49" s="1375"/>
      <c r="AZ49" s="1375"/>
      <c r="BA49" s="1645"/>
      <c r="BB49" s="1375"/>
      <c r="BC49" s="1375"/>
      <c r="BD49" s="553"/>
      <c r="BE49" s="1375"/>
      <c r="BF49" s="1375"/>
      <c r="BG49" s="1375"/>
      <c r="BH49" s="1375"/>
      <c r="BI49" s="1375"/>
      <c r="BJ49" s="1641"/>
      <c r="BK49" s="631"/>
      <c r="BL49" s="631"/>
      <c r="BM49" s="631"/>
      <c r="BN49" s="631"/>
      <c r="BO49" s="1650">
        <v>11</v>
      </c>
    </row>
    <row s="1650" customFormat="1" customHeight="1" ht="11.549999999999999">
      <c r="A50" s="996"/>
      <c r="B50" s="996"/>
      <c r="C50" s="996"/>
      <c r="D50" s="996"/>
      <c r="E50" s="996"/>
      <c r="F50" s="1645"/>
      <c r="G50" s="1645"/>
      <c r="H50" s="36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650"/>
      <c r="AM50" s="1650"/>
      <c r="AN50" s="1650"/>
      <c r="AO50" s="1650"/>
      <c r="AP50" s="1650"/>
      <c r="AQ50" s="1650"/>
      <c r="AR50" s="1375"/>
      <c r="AT50" s="1375"/>
      <c r="AU50" s="1645"/>
      <c r="AV50" s="1645"/>
      <c r="AW50" s="1375"/>
      <c r="AX50" s="1375"/>
      <c r="AY50" s="1375"/>
      <c r="AZ50" s="1375"/>
      <c r="BA50" s="1645"/>
      <c r="BB50" s="1375"/>
      <c r="BC50" s="1375"/>
      <c r="BD50" s="553"/>
      <c r="BE50" s="1375"/>
      <c r="BF50" s="1375"/>
      <c r="BG50" s="1375"/>
      <c r="BH50" s="1375"/>
      <c r="BI50" s="1375"/>
      <c r="BJ50" s="1641"/>
      <c r="BK50" s="631"/>
      <c r="BL50" s="631"/>
      <c r="BM50" s="631"/>
      <c r="BN50" s="631"/>
      <c r="BO50" s="1650">
        <v>11</v>
      </c>
    </row>
    <row s="1650" customFormat="1" customHeight="1" ht="11.549999999999999">
      <c r="A51" s="996"/>
      <c r="B51" s="996"/>
      <c r="C51" s="996"/>
      <c r="D51" s="996"/>
      <c r="E51" s="996"/>
      <c r="F51" s="1645"/>
      <c r="G51" s="1645"/>
      <c r="H51" s="36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650"/>
      <c r="AM51" s="1650"/>
      <c r="AN51" s="1650"/>
      <c r="AO51" s="1650"/>
      <c r="AP51" s="1650"/>
      <c r="AQ51" s="1650"/>
      <c r="AR51" s="1375"/>
      <c r="AT51" s="1375"/>
      <c r="AU51" s="1645"/>
      <c r="AV51" s="1645"/>
      <c r="AW51" s="1375"/>
      <c r="AX51" s="1375"/>
      <c r="AY51" s="1375"/>
      <c r="AZ51" s="1375"/>
      <c r="BA51" s="1645"/>
      <c r="BB51" s="1375"/>
      <c r="BC51" s="1375"/>
      <c r="BD51" s="553"/>
      <c r="BE51" s="1375"/>
      <c r="BF51" s="1375"/>
      <c r="BG51" s="1375"/>
      <c r="BH51" s="1375"/>
      <c r="BI51" s="1375"/>
      <c r="BJ51" s="1641"/>
      <c r="BK51" s="631"/>
      <c r="BL51" s="631"/>
      <c r="BM51" s="631"/>
      <c r="BN51" s="631"/>
      <c r="BO51" s="1650">
        <v>11</v>
      </c>
    </row>
    <row s="1650" customFormat="1" customHeight="1" ht="11.549999999999999">
      <c r="A52" s="996"/>
      <c r="B52" s="996"/>
      <c r="C52" s="996"/>
      <c r="D52" s="996"/>
      <c r="E52" s="996"/>
      <c r="F52" s="1645"/>
      <c r="G52" s="1645"/>
      <c r="H52" s="36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650"/>
      <c r="AM52" s="1650"/>
      <c r="AN52" s="1650"/>
      <c r="AO52" s="1650"/>
      <c r="AP52" s="1650"/>
      <c r="AQ52" s="1650"/>
      <c r="AR52" s="1375"/>
      <c r="AT52" s="1375"/>
      <c r="AU52" s="1645"/>
      <c r="AV52" s="1645"/>
      <c r="AW52" s="1375"/>
      <c r="AX52" s="1375"/>
      <c r="AY52" s="1375"/>
      <c r="AZ52" s="1375"/>
      <c r="BA52" s="1645"/>
      <c r="BB52" s="1375"/>
      <c r="BC52" s="1375"/>
      <c r="BD52" s="553"/>
      <c r="BE52" s="1375"/>
      <c r="BF52" s="1375"/>
      <c r="BG52" s="1375"/>
      <c r="BH52" s="1375"/>
      <c r="BI52" s="1375"/>
      <c r="BJ52" s="1641"/>
      <c r="BK52" s="631"/>
      <c r="BL52" s="631"/>
      <c r="BM52" s="631"/>
      <c r="BN52" s="631"/>
      <c r="BO52" s="1650">
        <v>11</v>
      </c>
    </row>
    <row s="1650" customFormat="1" customHeight="1" ht="11.549999999999999">
      <c r="A53" s="996"/>
      <c r="B53" s="996"/>
      <c r="C53" s="996"/>
      <c r="D53" s="996"/>
      <c r="E53" s="996"/>
      <c r="F53" s="1645"/>
      <c r="G53" s="1645"/>
      <c r="H53" s="36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650"/>
      <c r="AM53" s="1650"/>
      <c r="AN53" s="1650"/>
      <c r="AO53" s="1650"/>
      <c r="AP53" s="1650"/>
      <c r="AQ53" s="1650"/>
      <c r="AR53" s="1375"/>
      <c r="AT53" s="1375"/>
      <c r="AU53" s="1645"/>
      <c r="AV53" s="1645"/>
      <c r="AW53" s="1375"/>
      <c r="AX53" s="1375"/>
      <c r="AY53" s="1375"/>
      <c r="AZ53" s="1375"/>
      <c r="BA53" s="1645"/>
      <c r="BB53" s="1375"/>
      <c r="BC53" s="1375"/>
      <c r="BD53" s="553"/>
      <c r="BE53" s="1375"/>
      <c r="BF53" s="1375"/>
      <c r="BG53" s="1375"/>
      <c r="BH53" s="1375"/>
      <c r="BI53" s="1375"/>
      <c r="BJ53" s="1641"/>
      <c r="BK53" s="631"/>
      <c r="BL53" s="631"/>
      <c r="BM53" s="631"/>
      <c r="BN53" s="631"/>
      <c r="BO53" s="1650">
        <v>11</v>
      </c>
    </row>
    <row s="1650" customFormat="1" customHeight="1" ht="11.549999999999999">
      <c r="A54" s="996"/>
      <c r="B54" s="996"/>
      <c r="C54" s="996"/>
      <c r="D54" s="996"/>
      <c r="E54" s="996"/>
      <c r="F54" s="1645"/>
      <c r="G54" s="1645"/>
      <c r="H54" s="36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650"/>
      <c r="AM54" s="1650"/>
      <c r="AN54" s="1650"/>
      <c r="AO54" s="1650"/>
      <c r="AP54" s="1650"/>
      <c r="AQ54" s="1650"/>
      <c r="AR54" s="1375"/>
      <c r="AT54" s="1375"/>
      <c r="AU54" s="1645"/>
      <c r="AV54" s="1645"/>
      <c r="AW54" s="1375"/>
      <c r="AX54" s="1375"/>
      <c r="AY54" s="1375"/>
      <c r="AZ54" s="1375"/>
      <c r="BA54" s="1645"/>
      <c r="BB54" s="1375"/>
      <c r="BC54" s="1375"/>
      <c r="BD54" s="553"/>
      <c r="BE54" s="1375"/>
      <c r="BF54" s="1375"/>
      <c r="BG54" s="1375"/>
      <c r="BH54" s="1375"/>
      <c r="BI54" s="1375"/>
      <c r="BJ54" s="1641"/>
      <c r="BK54" s="631"/>
      <c r="BL54" s="631"/>
      <c r="BM54" s="631"/>
      <c r="BN54" s="631"/>
      <c r="BO54" s="1650">
        <v>11</v>
      </c>
    </row>
    <row s="1650" customFormat="1" customHeight="1" ht="11.549999999999999">
      <c r="A55" s="996"/>
      <c r="B55" s="996"/>
      <c r="C55" s="996"/>
      <c r="D55" s="996"/>
      <c r="E55" s="996"/>
      <c r="F55" s="1645"/>
      <c r="G55" s="1645"/>
      <c r="H55" s="36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650"/>
      <c r="AM55" s="1650"/>
      <c r="AN55" s="1650"/>
      <c r="AO55" s="1650"/>
      <c r="AP55" s="1650"/>
      <c r="AQ55" s="1650"/>
      <c r="AR55" s="1375"/>
      <c r="AT55" s="1375"/>
      <c r="AU55" s="1645"/>
      <c r="AV55" s="1645"/>
      <c r="AW55" s="1375"/>
      <c r="AX55" s="1375"/>
      <c r="AY55" s="1375"/>
      <c r="AZ55" s="1375"/>
      <c r="BA55" s="1645"/>
      <c r="BB55" s="1375"/>
      <c r="BC55" s="1375"/>
      <c r="BD55" s="553"/>
      <c r="BE55" s="1375"/>
      <c r="BF55" s="1375"/>
      <c r="BG55" s="1375"/>
      <c r="BH55" s="1375"/>
      <c r="BI55" s="1375"/>
      <c r="BJ55" s="1641"/>
      <c r="BK55" s="631"/>
      <c r="BL55" s="631"/>
      <c r="BM55" s="631"/>
      <c r="BN55" s="631"/>
      <c r="BO55" s="1650">
        <v>11</v>
      </c>
    </row>
    <row s="1650" customFormat="1" customHeight="1" ht="11.549999999999999">
      <c r="A56" s="996"/>
      <c r="B56" s="996"/>
      <c r="C56" s="996"/>
      <c r="D56" s="996"/>
      <c r="E56" s="996"/>
      <c r="F56" s="1645"/>
      <c r="G56" s="1645"/>
      <c r="H56" s="360"/>
      <c r="N56" s="1650"/>
      <c r="O56" s="1650"/>
      <c r="P56" s="1650"/>
      <c r="Q56" s="1650"/>
      <c r="R56" s="1650"/>
      <c r="S56" s="1650"/>
      <c r="T56" s="1650"/>
      <c r="U56" s="1650"/>
      <c r="V56" s="1650"/>
      <c r="W56" s="1650"/>
      <c r="X56" s="1650"/>
      <c r="Y56" s="1650"/>
      <c r="Z56" s="1650"/>
      <c r="AA56" s="1650"/>
      <c r="AB56" s="1650"/>
      <c r="AC56" s="1650"/>
      <c r="AD56" s="1650"/>
      <c r="AE56" s="1650"/>
      <c r="AF56" s="1650"/>
      <c r="AG56" s="1650"/>
      <c r="AH56" s="1650"/>
      <c r="AI56" s="1650"/>
      <c r="AJ56" s="1650"/>
      <c r="AK56" s="1650"/>
      <c r="AL56" s="1650"/>
      <c r="AM56" s="1650"/>
      <c r="AN56" s="1650"/>
      <c r="AO56" s="1650"/>
      <c r="AP56" s="1650"/>
      <c r="AQ56" s="1650"/>
      <c r="AR56" s="1375"/>
      <c r="AT56" s="1375"/>
      <c r="AU56" s="1645"/>
      <c r="AV56" s="1645"/>
      <c r="AW56" s="1375"/>
      <c r="AX56" s="1375"/>
      <c r="AY56" s="1375"/>
      <c r="AZ56" s="1375"/>
      <c r="BA56" s="1645"/>
      <c r="BB56" s="1375"/>
      <c r="BC56" s="1375"/>
      <c r="BD56" s="553"/>
      <c r="BE56" s="1375"/>
      <c r="BF56" s="1375"/>
      <c r="BG56" s="1375"/>
      <c r="BH56" s="1375"/>
      <c r="BI56" s="1375"/>
      <c r="BJ56" s="1641"/>
      <c r="BK56" s="631"/>
      <c r="BL56" s="631"/>
      <c r="BM56" s="631"/>
      <c r="BN56" s="631"/>
      <c r="BO56" s="1650">
        <v>11</v>
      </c>
    </row>
    <row s="1650" customFormat="1" customHeight="1" ht="11.549999999999999">
      <c r="A57" s="996"/>
      <c r="B57" s="996"/>
      <c r="C57" s="996"/>
      <c r="D57" s="996"/>
      <c r="E57" s="996"/>
      <c r="F57" s="1645"/>
      <c r="G57" s="1645"/>
      <c r="H57" s="36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650"/>
      <c r="AM57" s="1650"/>
      <c r="AN57" s="1650"/>
      <c r="AO57" s="1650"/>
      <c r="AP57" s="1650"/>
      <c r="AQ57" s="1650"/>
      <c r="AR57" s="1375"/>
      <c r="AT57" s="1375"/>
      <c r="AU57" s="1645"/>
      <c r="AV57" s="1645"/>
      <c r="AW57" s="1375"/>
      <c r="AX57" s="1375"/>
      <c r="AY57" s="1375"/>
      <c r="AZ57" s="1375"/>
      <c r="BA57" s="1645"/>
      <c r="BB57" s="1375"/>
      <c r="BC57" s="1375"/>
      <c r="BD57" s="553"/>
      <c r="BE57" s="1375"/>
      <c r="BF57" s="1375"/>
      <c r="BG57" s="1375"/>
      <c r="BH57" s="1375"/>
      <c r="BI57" s="1375"/>
      <c r="BJ57" s="1641"/>
      <c r="BK57" s="631"/>
      <c r="BL57" s="631"/>
      <c r="BM57" s="631"/>
      <c r="BN57" s="631"/>
      <c r="BO57" s="1650">
        <v>11</v>
      </c>
    </row>
    <row s="1650" customFormat="1" customHeight="1" ht="11.549999999999999">
      <c r="A58" s="996"/>
      <c r="B58" s="996"/>
      <c r="C58" s="996"/>
      <c r="D58" s="996"/>
      <c r="E58" s="996"/>
      <c r="F58" s="1645"/>
      <c r="G58" s="1645"/>
      <c r="H58" s="36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650"/>
      <c r="AM58" s="1650"/>
      <c r="AN58" s="1650"/>
      <c r="AO58" s="1650"/>
      <c r="AP58" s="1650"/>
      <c r="AQ58" s="1650"/>
      <c r="AR58" s="1375"/>
      <c r="AT58" s="1375"/>
      <c r="AU58" s="1645"/>
      <c r="AV58" s="1645"/>
      <c r="AW58" s="1375"/>
      <c r="AX58" s="1375"/>
      <c r="AY58" s="1375"/>
      <c r="AZ58" s="1375"/>
      <c r="BA58" s="1645"/>
      <c r="BB58" s="1375"/>
      <c r="BC58" s="1375"/>
      <c r="BD58" s="553"/>
      <c r="BE58" s="1375"/>
      <c r="BF58" s="1375"/>
      <c r="BG58" s="1375"/>
      <c r="BH58" s="1375"/>
      <c r="BI58" s="1375"/>
      <c r="BJ58" s="1641"/>
      <c r="BK58" s="631"/>
      <c r="BL58" s="631"/>
      <c r="BM58" s="631"/>
      <c r="BN58" s="631"/>
      <c r="BO58" s="1650">
        <v>11</v>
      </c>
    </row>
    <row s="1650" customFormat="1" customHeight="1" ht="11.549999999999999">
      <c r="A59" s="996"/>
      <c r="B59" s="996"/>
      <c r="C59" s="996"/>
      <c r="D59" s="996"/>
      <c r="E59" s="996"/>
      <c r="F59" s="1645"/>
      <c r="G59" s="1645"/>
      <c r="H59" s="36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650"/>
      <c r="AM59" s="1650"/>
      <c r="AN59" s="1650"/>
      <c r="AO59" s="1650"/>
      <c r="AP59" s="1650"/>
      <c r="AQ59" s="1650"/>
      <c r="AR59" s="1375"/>
      <c r="AT59" s="1375"/>
      <c r="AU59" s="1645"/>
      <c r="AV59" s="1645"/>
      <c r="AW59" s="1375"/>
      <c r="AX59" s="1375"/>
      <c r="AY59" s="1375"/>
      <c r="AZ59" s="1375"/>
      <c r="BA59" s="1645"/>
      <c r="BB59" s="1375"/>
      <c r="BC59" s="1375"/>
      <c r="BD59" s="553"/>
      <c r="BE59" s="1375"/>
      <c r="BF59" s="1375"/>
      <c r="BG59" s="1375"/>
      <c r="BH59" s="1375"/>
      <c r="BI59" s="1375"/>
      <c r="BJ59" s="1641"/>
      <c r="BK59" s="631"/>
      <c r="BL59" s="631"/>
      <c r="BM59" s="631"/>
      <c r="BN59" s="631"/>
      <c r="BO59" s="1650">
        <v>11</v>
      </c>
    </row>
    <row s="1650" customFormat="1" customHeight="1" ht="11.549999999999999">
      <c r="A60" s="996"/>
      <c r="B60" s="996"/>
      <c r="C60" s="996"/>
      <c r="D60" s="996"/>
      <c r="E60" s="996"/>
      <c r="F60" s="1645"/>
      <c r="G60" s="1645"/>
      <c r="H60" s="36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c r="AO60" s="1650"/>
      <c r="AP60" s="1650"/>
      <c r="AQ60" s="1650"/>
      <c r="AR60" s="1375"/>
      <c r="AT60" s="1375"/>
      <c r="AU60" s="1645"/>
      <c r="AV60" s="1645"/>
      <c r="AW60" s="1375"/>
      <c r="AX60" s="1375"/>
      <c r="AY60" s="1375"/>
      <c r="AZ60" s="1375"/>
      <c r="BA60" s="1645"/>
      <c r="BB60" s="1375"/>
      <c r="BC60" s="1375"/>
      <c r="BD60" s="553"/>
      <c r="BE60" s="1375"/>
      <c r="BF60" s="1375"/>
      <c r="BG60" s="1375"/>
      <c r="BH60" s="1375"/>
      <c r="BI60" s="1375"/>
      <c r="BJ60" s="1641"/>
      <c r="BK60" s="631"/>
      <c r="BL60" s="631"/>
      <c r="BM60" s="631"/>
      <c r="BN60" s="631"/>
      <c r="BO60" s="1650">
        <v>11</v>
      </c>
    </row>
    <row s="1650" customFormat="1" customHeight="1" ht="11.549999999999999">
      <c r="A61" s="996"/>
      <c r="B61" s="996"/>
      <c r="C61" s="996"/>
      <c r="D61" s="996"/>
      <c r="E61" s="996"/>
      <c r="F61" s="1645"/>
      <c r="G61" s="1645"/>
      <c r="H61" s="360"/>
      <c r="N61" s="1650"/>
      <c r="O61" s="1650"/>
      <c r="P61" s="1650"/>
      <c r="Q61" s="1650"/>
      <c r="R61" s="1650"/>
      <c r="S61" s="1650"/>
      <c r="T61" s="1650"/>
      <c r="U61" s="1650"/>
      <c r="V61" s="1650"/>
      <c r="W61" s="1650"/>
      <c r="X61" s="1650"/>
      <c r="Y61" s="1650"/>
      <c r="Z61" s="1650"/>
      <c r="AA61" s="1650"/>
      <c r="AB61" s="1650"/>
      <c r="AC61" s="1650"/>
      <c r="AD61" s="1650"/>
      <c r="AE61" s="1650"/>
      <c r="AF61" s="1650"/>
      <c r="AG61" s="1650"/>
      <c r="AH61" s="1650"/>
      <c r="AI61" s="1650"/>
      <c r="AJ61" s="1650"/>
      <c r="AK61" s="1650"/>
      <c r="AL61" s="1650"/>
      <c r="AM61" s="1650"/>
      <c r="AN61" s="1650"/>
      <c r="AO61" s="1650"/>
      <c r="AP61" s="1650"/>
      <c r="AQ61" s="1650"/>
      <c r="AR61" s="1375"/>
      <c r="AT61" s="1375"/>
      <c r="AU61" s="1645"/>
      <c r="AV61" s="1645"/>
      <c r="AW61" s="1375"/>
      <c r="AX61" s="1375"/>
      <c r="AY61" s="1375"/>
      <c r="AZ61" s="1375"/>
      <c r="BA61" s="1645"/>
      <c r="BB61" s="1375"/>
      <c r="BC61" s="1375"/>
      <c r="BD61" s="553"/>
      <c r="BE61" s="1375"/>
      <c r="BF61" s="1375"/>
      <c r="BG61" s="1375"/>
      <c r="BH61" s="1375"/>
      <c r="BI61" s="1375"/>
      <c r="BJ61" s="1641"/>
      <c r="BK61" s="631"/>
      <c r="BL61" s="631"/>
      <c r="BM61" s="631"/>
      <c r="BN61" s="631"/>
      <c r="BO61" s="1650">
        <v>11</v>
      </c>
    </row>
    <row s="1650" customFormat="1" customHeight="1" ht="11.549999999999999">
      <c r="A62" s="996"/>
      <c r="B62" s="996"/>
      <c r="C62" s="996"/>
      <c r="D62" s="996"/>
      <c r="E62" s="996"/>
      <c r="F62" s="1645"/>
      <c r="G62" s="1645"/>
      <c r="H62" s="360"/>
      <c r="N62" s="1650"/>
      <c r="O62" s="1650"/>
      <c r="P62" s="1650"/>
      <c r="Q62" s="1650"/>
      <c r="R62" s="1650"/>
      <c r="S62" s="1650"/>
      <c r="T62" s="1650"/>
      <c r="U62" s="1650"/>
      <c r="V62" s="1650"/>
      <c r="W62" s="1650"/>
      <c r="X62" s="1650"/>
      <c r="Y62" s="1650"/>
      <c r="Z62" s="1650"/>
      <c r="AA62" s="1650"/>
      <c r="AB62" s="1650"/>
      <c r="AC62" s="1650"/>
      <c r="AD62" s="1650"/>
      <c r="AE62" s="1650"/>
      <c r="AF62" s="1650"/>
      <c r="AG62" s="1650"/>
      <c r="AH62" s="1650"/>
      <c r="AI62" s="1650"/>
      <c r="AJ62" s="1650"/>
      <c r="AK62" s="1650"/>
      <c r="AL62" s="1650"/>
      <c r="AM62" s="1650"/>
      <c r="AN62" s="1650"/>
      <c r="AO62" s="1650"/>
      <c r="AP62" s="1650"/>
      <c r="AQ62" s="1650"/>
      <c r="AR62" s="1375"/>
      <c r="AT62" s="1375"/>
      <c r="AU62" s="1645"/>
      <c r="AV62" s="1645"/>
      <c r="AW62" s="1375"/>
      <c r="AX62" s="1375"/>
      <c r="AY62" s="1375"/>
      <c r="AZ62" s="1375"/>
      <c r="BA62" s="1645"/>
      <c r="BB62" s="1375"/>
      <c r="BC62" s="1375"/>
      <c r="BD62" s="553"/>
      <c r="BE62" s="1375"/>
      <c r="BF62" s="1375"/>
      <c r="BG62" s="1375"/>
      <c r="BH62" s="1375"/>
      <c r="BI62" s="1375"/>
      <c r="BJ62" s="1641"/>
      <c r="BK62" s="631"/>
      <c r="BL62" s="631"/>
      <c r="BM62" s="631"/>
      <c r="BN62" s="631"/>
      <c r="BO62" s="1650">
        <v>11</v>
      </c>
    </row>
    <row s="1650" customFormat="1" customHeight="1" ht="11.549999999999999">
      <c r="A63" s="996"/>
      <c r="B63" s="996"/>
      <c r="C63" s="996"/>
      <c r="D63" s="996"/>
      <c r="E63" s="996"/>
      <c r="F63" s="1645"/>
      <c r="G63" s="1645"/>
      <c r="H63" s="360"/>
      <c r="N63" s="1650"/>
      <c r="O63" s="1650"/>
      <c r="P63" s="1650"/>
      <c r="Q63" s="1650"/>
      <c r="R63" s="1650"/>
      <c r="S63" s="1650"/>
      <c r="T63" s="1650"/>
      <c r="U63" s="1650"/>
      <c r="V63" s="1650"/>
      <c r="W63" s="1650"/>
      <c r="X63" s="1650"/>
      <c r="Y63" s="1650"/>
      <c r="Z63" s="1650"/>
      <c r="AA63" s="1650"/>
      <c r="AB63" s="1650"/>
      <c r="AC63" s="1650"/>
      <c r="AD63" s="1650"/>
      <c r="AE63" s="1650"/>
      <c r="AF63" s="1650"/>
      <c r="AG63" s="1650"/>
      <c r="AH63" s="1650"/>
      <c r="AI63" s="1650"/>
      <c r="AJ63" s="1650"/>
      <c r="AK63" s="1650"/>
      <c r="AL63" s="1650"/>
      <c r="AM63" s="1650"/>
      <c r="AN63" s="1650"/>
      <c r="AO63" s="1650"/>
      <c r="AP63" s="1650"/>
      <c r="AQ63" s="1650"/>
      <c r="AR63" s="1375"/>
      <c r="AT63" s="1375"/>
      <c r="AU63" s="1645"/>
      <c r="AV63" s="1645"/>
      <c r="AW63" s="1375"/>
      <c r="AX63" s="1375"/>
      <c r="AY63" s="1375"/>
      <c r="AZ63" s="1375"/>
      <c r="BA63" s="1645"/>
      <c r="BB63" s="1375"/>
      <c r="BC63" s="1375"/>
      <c r="BD63" s="553"/>
      <c r="BE63" s="1375"/>
      <c r="BF63" s="1375"/>
      <c r="BG63" s="1375"/>
      <c r="BH63" s="1375"/>
      <c r="BI63" s="1375"/>
      <c r="BJ63" s="1641"/>
      <c r="BK63" s="631"/>
      <c r="BL63" s="631"/>
      <c r="BM63" s="631"/>
      <c r="BN63" s="631"/>
      <c r="BO63" s="1650">
        <v>11</v>
      </c>
    </row>
    <row s="1650" customFormat="1" customHeight="1" ht="11.549999999999999">
      <c r="A64" s="996"/>
      <c r="B64" s="996"/>
      <c r="C64" s="996"/>
      <c r="D64" s="996"/>
      <c r="E64" s="996"/>
      <c r="F64" s="1645"/>
      <c r="G64" s="1645"/>
      <c r="H64" s="36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c r="AI64" s="1650"/>
      <c r="AJ64" s="1650"/>
      <c r="AK64" s="1650"/>
      <c r="AL64" s="1650"/>
      <c r="AM64" s="1650"/>
      <c r="AN64" s="1650"/>
      <c r="AO64" s="1650"/>
      <c r="AP64" s="1650"/>
      <c r="AQ64" s="1650"/>
      <c r="AR64" s="1375"/>
      <c r="AT64" s="1375"/>
      <c r="AU64" s="1645"/>
      <c r="AV64" s="1645"/>
      <c r="AW64" s="1375"/>
      <c r="AX64" s="1375"/>
      <c r="AY64" s="1375"/>
      <c r="AZ64" s="1375"/>
      <c r="BA64" s="1645"/>
      <c r="BB64" s="1375"/>
      <c r="BC64" s="1375"/>
      <c r="BD64" s="553"/>
      <c r="BE64" s="1375"/>
      <c r="BF64" s="1375"/>
      <c r="BG64" s="1375"/>
      <c r="BH64" s="1375"/>
      <c r="BI64" s="1375"/>
      <c r="BJ64" s="1641"/>
      <c r="BK64" s="631"/>
      <c r="BL64" s="631"/>
      <c r="BM64" s="631"/>
      <c r="BN64" s="631"/>
      <c r="BO64" s="1650">
        <v>11</v>
      </c>
    </row>
    <row s="1650" customFormat="1" customHeight="1" ht="11.549999999999999">
      <c r="A65" s="996"/>
      <c r="B65" s="996"/>
      <c r="C65" s="996"/>
      <c r="D65" s="996"/>
      <c r="E65" s="996"/>
      <c r="F65" s="1645"/>
      <c r="G65" s="1645"/>
      <c r="H65" s="36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c r="AI65" s="1650"/>
      <c r="AJ65" s="1650"/>
      <c r="AK65" s="1650"/>
      <c r="AL65" s="1650"/>
      <c r="AM65" s="1650"/>
      <c r="AN65" s="1650"/>
      <c r="AO65" s="1650"/>
      <c r="AP65" s="1650"/>
      <c r="AQ65" s="1650"/>
      <c r="AR65" s="1375"/>
      <c r="AT65" s="1375"/>
      <c r="AU65" s="1645"/>
      <c r="AV65" s="1645"/>
      <c r="AW65" s="1375"/>
      <c r="AX65" s="1375"/>
      <c r="AY65" s="1375"/>
      <c r="AZ65" s="1375"/>
      <c r="BA65" s="1645"/>
      <c r="BB65" s="1375"/>
      <c r="BC65" s="1375"/>
      <c r="BD65" s="553"/>
      <c r="BE65" s="1375"/>
      <c r="BF65" s="1375"/>
      <c r="BG65" s="1375"/>
      <c r="BH65" s="1375"/>
      <c r="BI65" s="1375"/>
      <c r="BJ65" s="1641"/>
      <c r="BK65" s="631"/>
      <c r="BL65" s="631"/>
      <c r="BM65" s="631"/>
      <c r="BN65" s="631"/>
      <c r="BO65" s="1650">
        <v>11</v>
      </c>
    </row>
    <row s="1650" customFormat="1" customHeight="1" ht="11.549999999999999">
      <c r="A66" s="996"/>
      <c r="B66" s="996"/>
      <c r="C66" s="996"/>
      <c r="D66" s="996"/>
      <c r="E66" s="996"/>
      <c r="F66" s="1645"/>
      <c r="G66" s="1645"/>
      <c r="H66" s="360"/>
      <c r="N66" s="1650"/>
      <c r="O66" s="1650"/>
      <c r="P66" s="1650"/>
      <c r="Q66" s="1650"/>
      <c r="R66" s="1650"/>
      <c r="S66" s="1650"/>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375"/>
      <c r="AT66" s="1375"/>
      <c r="AU66" s="1645"/>
      <c r="AV66" s="1645"/>
      <c r="AW66" s="1375"/>
      <c r="AX66" s="1375"/>
      <c r="AY66" s="1375"/>
      <c r="AZ66" s="1375"/>
      <c r="BA66" s="1645"/>
      <c r="BB66" s="1375"/>
      <c r="BC66" s="1375"/>
      <c r="BD66" s="553"/>
      <c r="BE66" s="1375"/>
      <c r="BF66" s="1375"/>
      <c r="BG66" s="1375"/>
      <c r="BH66" s="1375"/>
      <c r="BI66" s="1375"/>
      <c r="BJ66" s="1641"/>
      <c r="BK66" s="631"/>
      <c r="BL66" s="631"/>
      <c r="BM66" s="631"/>
      <c r="BN66" s="631"/>
      <c r="BO66" s="1650">
        <v>11</v>
      </c>
    </row>
    <row s="1650" customFormat="1" customHeight="1" ht="11.549999999999999">
      <c r="A67" s="996"/>
      <c r="B67" s="996"/>
      <c r="C67" s="996"/>
      <c r="D67" s="996"/>
      <c r="E67" s="996"/>
      <c r="F67" s="1645"/>
      <c r="G67" s="1645"/>
      <c r="H67" s="360"/>
      <c r="N67" s="1650"/>
      <c r="O67" s="1650"/>
      <c r="P67" s="1650"/>
      <c r="Q67" s="1650"/>
      <c r="R67" s="1650"/>
      <c r="S67" s="1650"/>
      <c r="T67" s="1650"/>
      <c r="U67" s="1650"/>
      <c r="V67" s="1650"/>
      <c r="W67" s="1650"/>
      <c r="X67" s="1650"/>
      <c r="Y67" s="1650"/>
      <c r="Z67" s="1650"/>
      <c r="AA67" s="1650"/>
      <c r="AB67" s="1650"/>
      <c r="AC67" s="1650"/>
      <c r="AD67" s="1650"/>
      <c r="AE67" s="1650"/>
      <c r="AF67" s="1650"/>
      <c r="AG67" s="1650"/>
      <c r="AH67" s="1650"/>
      <c r="AI67" s="1650"/>
      <c r="AJ67" s="1650"/>
      <c r="AK67" s="1650"/>
      <c r="AL67" s="1650"/>
      <c r="AM67" s="1650"/>
      <c r="AN67" s="1650"/>
      <c r="AO67" s="1650"/>
      <c r="AP67" s="1650"/>
      <c r="AQ67" s="1650"/>
      <c r="AR67" s="1375"/>
      <c r="AT67" s="1375"/>
      <c r="AU67" s="1645"/>
      <c r="AV67" s="1645"/>
      <c r="AW67" s="1375"/>
      <c r="AX67" s="1375"/>
      <c r="AY67" s="1375"/>
      <c r="AZ67" s="1375"/>
      <c r="BA67" s="1645"/>
      <c r="BB67" s="1375"/>
      <c r="BC67" s="1375"/>
      <c r="BD67" s="553"/>
      <c r="BE67" s="1375"/>
      <c r="BF67" s="1375"/>
      <c r="BG67" s="1375"/>
      <c r="BH67" s="1375"/>
      <c r="BI67" s="1375"/>
      <c r="BJ67" s="1641"/>
      <c r="BK67" s="631"/>
      <c r="BL67" s="631"/>
      <c r="BM67" s="631"/>
      <c r="BN67" s="631"/>
      <c r="BO67" s="1650">
        <v>11</v>
      </c>
    </row>
    <row s="1650" customFormat="1" customHeight="1" ht="11.549999999999999">
      <c r="A68" s="996"/>
      <c r="B68" s="996"/>
      <c r="C68" s="996"/>
      <c r="D68" s="996"/>
      <c r="E68" s="996"/>
      <c r="F68" s="1645"/>
      <c r="G68" s="1645"/>
      <c r="H68" s="360"/>
      <c r="N68" s="1650"/>
      <c r="O68" s="1650"/>
      <c r="P68" s="1650"/>
      <c r="Q68" s="1650"/>
      <c r="R68" s="1650"/>
      <c r="S68" s="1650"/>
      <c r="T68" s="1650"/>
      <c r="U68" s="1650"/>
      <c r="V68" s="1650"/>
      <c r="W68" s="1650"/>
      <c r="X68" s="1650"/>
      <c r="Y68" s="1650"/>
      <c r="Z68" s="1650"/>
      <c r="AA68" s="1650"/>
      <c r="AB68" s="1650"/>
      <c r="AC68" s="1650"/>
      <c r="AD68" s="1650"/>
      <c r="AE68" s="1650"/>
      <c r="AF68" s="1650"/>
      <c r="AG68" s="1650"/>
      <c r="AH68" s="1650"/>
      <c r="AI68" s="1650"/>
      <c r="AJ68" s="1650"/>
      <c r="AK68" s="1650"/>
      <c r="AL68" s="1650"/>
      <c r="AM68" s="1650"/>
      <c r="AN68" s="1650"/>
      <c r="AO68" s="1650"/>
      <c r="AP68" s="1650"/>
      <c r="AQ68" s="1650"/>
      <c r="AR68" s="1375"/>
      <c r="AT68" s="1375"/>
      <c r="AU68" s="1645"/>
      <c r="AV68" s="1645"/>
      <c r="AW68" s="1375"/>
      <c r="AX68" s="1375"/>
      <c r="AY68" s="1375"/>
      <c r="AZ68" s="1375"/>
      <c r="BA68" s="1645"/>
      <c r="BB68" s="1375"/>
      <c r="BC68" s="1375"/>
      <c r="BD68" s="553"/>
      <c r="BE68" s="1375"/>
      <c r="BF68" s="1375"/>
      <c r="BG68" s="1375"/>
      <c r="BH68" s="1375"/>
      <c r="BI68" s="1375"/>
      <c r="BJ68" s="1641"/>
      <c r="BK68" s="631"/>
      <c r="BL68" s="631"/>
      <c r="BM68" s="631"/>
      <c r="BN68" s="631"/>
      <c r="BO68" s="1650">
        <v>11</v>
      </c>
    </row>
    <row s="1650" customFormat="1" customHeight="1" ht="11.549999999999999">
      <c r="A69" s="996"/>
      <c r="B69" s="996"/>
      <c r="C69" s="996"/>
      <c r="D69" s="996"/>
      <c r="E69" s="996"/>
      <c r="F69" s="1645"/>
      <c r="G69" s="1645"/>
      <c r="H69" s="360"/>
      <c r="N69" s="1650"/>
      <c r="O69" s="1650"/>
      <c r="P69" s="1650"/>
      <c r="Q69" s="1650"/>
      <c r="R69" s="1650"/>
      <c r="S69" s="1650"/>
      <c r="T69" s="1650"/>
      <c r="U69" s="1650"/>
      <c r="V69" s="1650"/>
      <c r="W69" s="1650"/>
      <c r="X69" s="1650"/>
      <c r="Y69" s="1650"/>
      <c r="Z69" s="1650"/>
      <c r="AA69" s="1650"/>
      <c r="AB69" s="1650"/>
      <c r="AC69" s="1650"/>
      <c r="AD69" s="1650"/>
      <c r="AE69" s="1650"/>
      <c r="AF69" s="1650"/>
      <c r="AG69" s="1650"/>
      <c r="AH69" s="1650"/>
      <c r="AI69" s="1650"/>
      <c r="AJ69" s="1650"/>
      <c r="AK69" s="1650"/>
      <c r="AL69" s="1650"/>
      <c r="AM69" s="1650"/>
      <c r="AN69" s="1650"/>
      <c r="AO69" s="1650"/>
      <c r="AP69" s="1650"/>
      <c r="AQ69" s="1650"/>
      <c r="AR69" s="1375"/>
      <c r="AT69" s="1375"/>
      <c r="AU69" s="1645"/>
      <c r="AV69" s="1645"/>
      <c r="AW69" s="1375"/>
      <c r="AX69" s="1375"/>
      <c r="AY69" s="1375"/>
      <c r="AZ69" s="1375"/>
      <c r="BA69" s="1645"/>
      <c r="BB69" s="1375"/>
      <c r="BC69" s="1375"/>
      <c r="BD69" s="553"/>
      <c r="BE69" s="1375"/>
      <c r="BF69" s="1375"/>
      <c r="BG69" s="1375"/>
      <c r="BH69" s="1375"/>
      <c r="BI69" s="1375"/>
      <c r="BJ69" s="1641"/>
      <c r="BK69" s="631"/>
      <c r="BL69" s="631"/>
      <c r="BM69" s="631"/>
      <c r="BN69" s="631"/>
      <c r="BO69" s="1650">
        <v>11</v>
      </c>
    </row>
    <row s="1650" customFormat="1" customHeight="1" ht="11.549999999999999">
      <c r="A70" s="996"/>
      <c r="B70" s="996"/>
      <c r="C70" s="996"/>
      <c r="D70" s="996"/>
      <c r="E70" s="996"/>
      <c r="F70" s="1645"/>
      <c r="G70" s="1645"/>
      <c r="H70" s="360"/>
      <c r="N70" s="1650"/>
      <c r="O70" s="1650"/>
      <c r="P70" s="1650"/>
      <c r="Q70" s="1650"/>
      <c r="R70" s="1650"/>
      <c r="S70" s="1650"/>
      <c r="T70" s="1650"/>
      <c r="U70" s="1650"/>
      <c r="V70" s="1650"/>
      <c r="W70" s="1650"/>
      <c r="X70" s="1650"/>
      <c r="Y70" s="1650"/>
      <c r="Z70" s="1650"/>
      <c r="AA70" s="1650"/>
      <c r="AB70" s="1650"/>
      <c r="AC70" s="1650"/>
      <c r="AD70" s="1650"/>
      <c r="AE70" s="1650"/>
      <c r="AF70" s="1650"/>
      <c r="AG70" s="1650"/>
      <c r="AH70" s="1650"/>
      <c r="AI70" s="1650"/>
      <c r="AJ70" s="1650"/>
      <c r="AK70" s="1650"/>
      <c r="AL70" s="1650"/>
      <c r="AM70" s="1650"/>
      <c r="AN70" s="1650"/>
      <c r="AO70" s="1650"/>
      <c r="AP70" s="1650"/>
      <c r="AQ70" s="1650"/>
      <c r="AR70" s="1375"/>
      <c r="AT70" s="1375"/>
      <c r="AU70" s="1645"/>
      <c r="AV70" s="1645"/>
      <c r="AW70" s="1375"/>
      <c r="AX70" s="1375"/>
      <c r="AY70" s="1375"/>
      <c r="AZ70" s="1375"/>
      <c r="BA70" s="1645"/>
      <c r="BB70" s="1375"/>
      <c r="BC70" s="1375"/>
      <c r="BD70" s="553"/>
      <c r="BE70" s="1375"/>
      <c r="BF70" s="1375"/>
      <c r="BG70" s="1375"/>
      <c r="BH70" s="1375"/>
      <c r="BI70" s="1375"/>
      <c r="BJ70" s="1641"/>
      <c r="BK70" s="631"/>
      <c r="BL70" s="631"/>
      <c r="BM70" s="631"/>
      <c r="BN70" s="631"/>
      <c r="BO70" s="1650">
        <v>11</v>
      </c>
    </row>
    <row s="1650" customFormat="1" customHeight="1" ht="11.549999999999999">
      <c r="A71" s="996"/>
      <c r="B71" s="996"/>
      <c r="C71" s="996"/>
      <c r="D71" s="996"/>
      <c r="E71" s="996"/>
      <c r="F71" s="1645"/>
      <c r="G71" s="1645"/>
      <c r="H71" s="360"/>
      <c r="N71" s="1650"/>
      <c r="O71" s="1650"/>
      <c r="P71" s="1650"/>
      <c r="Q71" s="1650"/>
      <c r="R71" s="1650"/>
      <c r="S71" s="1650"/>
      <c r="T71" s="1650"/>
      <c r="U71" s="1650"/>
      <c r="V71" s="1650"/>
      <c r="W71" s="1650"/>
      <c r="X71" s="1650"/>
      <c r="Y71" s="1650"/>
      <c r="Z71" s="1650"/>
      <c r="AA71" s="1650"/>
      <c r="AB71" s="1650"/>
      <c r="AC71" s="1650"/>
      <c r="AD71" s="1650"/>
      <c r="AE71" s="1650"/>
      <c r="AF71" s="1650"/>
      <c r="AG71" s="1650"/>
      <c r="AH71" s="1650"/>
      <c r="AI71" s="1650"/>
      <c r="AJ71" s="1650"/>
      <c r="AK71" s="1650"/>
      <c r="AL71" s="1650"/>
      <c r="AM71" s="1650"/>
      <c r="AN71" s="1650"/>
      <c r="AO71" s="1650"/>
      <c r="AP71" s="1650"/>
      <c r="AQ71" s="1650"/>
      <c r="AR71" s="1375"/>
      <c r="AT71" s="1375"/>
      <c r="AU71" s="1645"/>
      <c r="AV71" s="1645"/>
      <c r="AW71" s="1375"/>
      <c r="AX71" s="1375"/>
      <c r="AY71" s="1375"/>
      <c r="AZ71" s="1375"/>
      <c r="BA71" s="1645"/>
      <c r="BB71" s="1375"/>
      <c r="BC71" s="1375"/>
      <c r="BD71" s="553"/>
      <c r="BE71" s="1375"/>
      <c r="BF71" s="1375"/>
      <c r="BG71" s="1375"/>
      <c r="BH71" s="1375"/>
      <c r="BI71" s="1375"/>
      <c r="BJ71" s="1641"/>
      <c r="BK71" s="631"/>
      <c r="BL71" s="631"/>
      <c r="BM71" s="631"/>
      <c r="BN71" s="631"/>
      <c r="BO71" s="1650">
        <v>11</v>
      </c>
    </row>
    <row s="1650" customFormat="1" customHeight="1" ht="11.549999999999999">
      <c r="A72" s="996"/>
      <c r="B72" s="996"/>
      <c r="C72" s="996"/>
      <c r="D72" s="996"/>
      <c r="E72" s="996"/>
      <c r="F72" s="1645"/>
      <c r="G72" s="1645"/>
      <c r="H72" s="360"/>
      <c r="N72" s="1650"/>
      <c r="O72" s="1650"/>
      <c r="P72" s="1650"/>
      <c r="Q72" s="1650"/>
      <c r="R72" s="1650"/>
      <c r="S72" s="1650"/>
      <c r="T72" s="1650"/>
      <c r="U72" s="1650"/>
      <c r="V72" s="1650"/>
      <c r="W72" s="1650"/>
      <c r="X72" s="1650"/>
      <c r="Y72" s="1650"/>
      <c r="Z72" s="1650"/>
      <c r="AA72" s="1650"/>
      <c r="AB72" s="1650"/>
      <c r="AC72" s="1650"/>
      <c r="AD72" s="1650"/>
      <c r="AE72" s="1650"/>
      <c r="AF72" s="1650"/>
      <c r="AG72" s="1650"/>
      <c r="AH72" s="1650"/>
      <c r="AI72" s="1650"/>
      <c r="AJ72" s="1650"/>
      <c r="AK72" s="1650"/>
      <c r="AL72" s="1650"/>
      <c r="AM72" s="1650"/>
      <c r="AN72" s="1650"/>
      <c r="AO72" s="1650"/>
      <c r="AP72" s="1650"/>
      <c r="AQ72" s="1650"/>
      <c r="AR72" s="1375"/>
      <c r="AT72" s="1375"/>
      <c r="AU72" s="1645"/>
      <c r="AV72" s="1645"/>
      <c r="AW72" s="1375"/>
      <c r="AX72" s="1375"/>
      <c r="AY72" s="1375"/>
      <c r="AZ72" s="1375"/>
      <c r="BA72" s="1645"/>
      <c r="BB72" s="1375"/>
      <c r="BC72" s="1375"/>
      <c r="BD72" s="553"/>
      <c r="BE72" s="1375"/>
      <c r="BF72" s="1375"/>
      <c r="BG72" s="1375"/>
      <c r="BH72" s="1375"/>
      <c r="BI72" s="1375"/>
      <c r="BJ72" s="1641"/>
      <c r="BK72" s="631"/>
      <c r="BL72" s="631"/>
      <c r="BM72" s="631"/>
      <c r="BN72" s="631"/>
      <c r="BO72" s="1650">
        <v>11</v>
      </c>
    </row>
    <row s="1650" customFormat="1" customHeight="1" ht="11.549999999999999">
      <c r="A73" s="996"/>
      <c r="B73" s="996"/>
      <c r="C73" s="996"/>
      <c r="D73" s="996"/>
      <c r="E73" s="996"/>
      <c r="F73" s="1645"/>
      <c r="G73" s="1645"/>
      <c r="H73" s="360"/>
      <c r="N73" s="1650"/>
      <c r="O73" s="1650"/>
      <c r="P73" s="1650"/>
      <c r="Q73" s="1650"/>
      <c r="R73" s="1650"/>
      <c r="S73" s="1650"/>
      <c r="T73" s="1650"/>
      <c r="U73" s="1650"/>
      <c r="V73" s="1650"/>
      <c r="W73" s="1650"/>
      <c r="X73" s="1650"/>
      <c r="Y73" s="1650"/>
      <c r="Z73" s="1650"/>
      <c r="AA73" s="1650"/>
      <c r="AB73" s="1650"/>
      <c r="AC73" s="1650"/>
      <c r="AD73" s="1650"/>
      <c r="AE73" s="1650"/>
      <c r="AF73" s="1650"/>
      <c r="AG73" s="1650"/>
      <c r="AH73" s="1650"/>
      <c r="AI73" s="1650"/>
      <c r="AJ73" s="1650"/>
      <c r="AK73" s="1650"/>
      <c r="AL73" s="1650"/>
      <c r="AM73" s="1650"/>
      <c r="AN73" s="1650"/>
      <c r="AO73" s="1650"/>
      <c r="AP73" s="1650"/>
      <c r="AQ73" s="1650"/>
      <c r="AR73" s="1375"/>
      <c r="AT73" s="1375"/>
      <c r="AU73" s="1645"/>
      <c r="AV73" s="1645"/>
      <c r="AW73" s="1375"/>
      <c r="AX73" s="1375"/>
      <c r="AY73" s="1375"/>
      <c r="AZ73" s="1375"/>
      <c r="BA73" s="1645"/>
      <c r="BB73" s="1375"/>
      <c r="BC73" s="1375"/>
      <c r="BD73" s="553"/>
      <c r="BE73" s="1375"/>
      <c r="BF73" s="1375"/>
      <c r="BG73" s="1375"/>
      <c r="BH73" s="1375"/>
      <c r="BI73" s="1375"/>
      <c r="BJ73" s="1641"/>
      <c r="BK73" s="631"/>
      <c r="BL73" s="631"/>
      <c r="BM73" s="631"/>
      <c r="BN73" s="631"/>
      <c r="BO73" s="1650">
        <v>11</v>
      </c>
    </row>
    <row s="1650" customFormat="1" customHeight="1" ht="11.549999999999999">
      <c r="A74" s="996"/>
      <c r="B74" s="996"/>
      <c r="C74" s="996"/>
      <c r="D74" s="996"/>
      <c r="E74" s="996"/>
      <c r="F74" s="1645"/>
      <c r="G74" s="1645"/>
      <c r="H74" s="360"/>
      <c r="N74" s="1650"/>
      <c r="O74" s="1650"/>
      <c r="P74" s="1650"/>
      <c r="Q74" s="1650"/>
      <c r="R74" s="1650"/>
      <c r="S74" s="1650"/>
      <c r="T74" s="1650"/>
      <c r="U74" s="1650"/>
      <c r="V74" s="1650"/>
      <c r="W74" s="1650"/>
      <c r="X74" s="1650"/>
      <c r="Y74" s="1650"/>
      <c r="Z74" s="1650"/>
      <c r="AA74" s="1650"/>
      <c r="AB74" s="1650"/>
      <c r="AC74" s="1650"/>
      <c r="AD74" s="1650"/>
      <c r="AE74" s="1650"/>
      <c r="AF74" s="1650"/>
      <c r="AG74" s="1650"/>
      <c r="AH74" s="1650"/>
      <c r="AI74" s="1650"/>
      <c r="AJ74" s="1650"/>
      <c r="AK74" s="1650"/>
      <c r="AL74" s="1650"/>
      <c r="AM74" s="1650"/>
      <c r="AN74" s="1650"/>
      <c r="AO74" s="1650"/>
      <c r="AP74" s="1650"/>
      <c r="AQ74" s="1650"/>
      <c r="AR74" s="1375"/>
      <c r="AT74" s="1375"/>
      <c r="AU74" s="1645"/>
      <c r="AV74" s="1645"/>
      <c r="AW74" s="1375"/>
      <c r="AX74" s="1375"/>
      <c r="AY74" s="1375"/>
      <c r="AZ74" s="1375"/>
      <c r="BA74" s="1645"/>
      <c r="BB74" s="1375"/>
      <c r="BC74" s="1375"/>
      <c r="BD74" s="553"/>
      <c r="BE74" s="1375"/>
      <c r="BF74" s="1375"/>
      <c r="BG74" s="1375"/>
      <c r="BH74" s="1375"/>
      <c r="BI74" s="1375"/>
      <c r="BJ74" s="1641"/>
      <c r="BK74" s="631"/>
      <c r="BL74" s="631"/>
      <c r="BM74" s="631"/>
      <c r="BN74" s="631"/>
      <c r="BO74" s="1650">
        <v>11</v>
      </c>
    </row>
    <row s="1650" customFormat="1" customHeight="1" ht="11.549999999999999">
      <c r="A75" s="996"/>
      <c r="B75" s="996"/>
      <c r="C75" s="996"/>
      <c r="D75" s="996"/>
      <c r="E75" s="996"/>
      <c r="F75" s="1645"/>
      <c r="G75" s="1645"/>
      <c r="H75" s="36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650"/>
      <c r="AM75" s="1650"/>
      <c r="AN75" s="1650"/>
      <c r="AO75" s="1650"/>
      <c r="AP75" s="1650"/>
      <c r="AQ75" s="1650"/>
      <c r="AR75" s="1375"/>
      <c r="AT75" s="1375"/>
      <c r="AU75" s="1645"/>
      <c r="AV75" s="1645"/>
      <c r="AW75" s="1375"/>
      <c r="AX75" s="1375"/>
      <c r="AY75" s="1375"/>
      <c r="AZ75" s="1375"/>
      <c r="BA75" s="1645"/>
      <c r="BB75" s="1375"/>
      <c r="BC75" s="1375"/>
      <c r="BD75" s="553"/>
      <c r="BE75" s="1375"/>
      <c r="BF75" s="1375"/>
      <c r="BG75" s="1375"/>
      <c r="BH75" s="1375"/>
      <c r="BI75" s="1375"/>
      <c r="BJ75" s="1641"/>
      <c r="BK75" s="631"/>
      <c r="BL75" s="631"/>
      <c r="BM75" s="631"/>
      <c r="BN75" s="631"/>
      <c r="BO75" s="1650">
        <v>11</v>
      </c>
    </row>
    <row s="1650" customFormat="1" customHeight="1" ht="11.549999999999999">
      <c r="A76" s="996"/>
      <c r="B76" s="996"/>
      <c r="C76" s="996"/>
      <c r="D76" s="996"/>
      <c r="E76" s="996"/>
      <c r="F76" s="1645"/>
      <c r="G76" s="1645"/>
      <c r="H76" s="36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650"/>
      <c r="AM76" s="1650"/>
      <c r="AN76" s="1650"/>
      <c r="AO76" s="1650"/>
      <c r="AP76" s="1650"/>
      <c r="AQ76" s="1650"/>
      <c r="AR76" s="1375"/>
      <c r="AT76" s="1375"/>
      <c r="AU76" s="1645"/>
      <c r="AV76" s="1645"/>
      <c r="AW76" s="1375"/>
      <c r="AX76" s="1375"/>
      <c r="AY76" s="1375"/>
      <c r="AZ76" s="1375"/>
      <c r="BA76" s="1645"/>
      <c r="BB76" s="1375"/>
      <c r="BC76" s="1375"/>
      <c r="BD76" s="553"/>
      <c r="BE76" s="1375"/>
      <c r="BF76" s="1375"/>
      <c r="BG76" s="1375"/>
      <c r="BH76" s="1375"/>
      <c r="BI76" s="1375"/>
      <c r="BJ76" s="1641"/>
      <c r="BK76" s="631"/>
      <c r="BL76" s="631"/>
      <c r="BM76" s="631"/>
      <c r="BN76" s="631"/>
      <c r="BO76" s="1650">
        <v>11</v>
      </c>
    </row>
    <row s="1650" customFormat="1" customHeight="1" ht="11.549999999999999">
      <c r="A77" s="996"/>
      <c r="B77" s="996"/>
      <c r="C77" s="996"/>
      <c r="D77" s="996"/>
      <c r="E77" s="996"/>
      <c r="F77" s="1645"/>
      <c r="G77" s="1645"/>
      <c r="H77" s="36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650"/>
      <c r="AM77" s="1650"/>
      <c r="AN77" s="1650"/>
      <c r="AO77" s="1650"/>
      <c r="AP77" s="1650"/>
      <c r="AQ77" s="1650"/>
      <c r="AR77" s="1375"/>
      <c r="AT77" s="1375"/>
      <c r="AU77" s="1645"/>
      <c r="AV77" s="1645"/>
      <c r="AW77" s="1375"/>
      <c r="AX77" s="1375"/>
      <c r="AY77" s="1375"/>
      <c r="AZ77" s="1375"/>
      <c r="BA77" s="1645"/>
      <c r="BB77" s="1375"/>
      <c r="BC77" s="1375"/>
      <c r="BD77" s="553"/>
      <c r="BE77" s="1375"/>
      <c r="BF77" s="1375"/>
      <c r="BG77" s="1375"/>
      <c r="BH77" s="1375"/>
      <c r="BI77" s="1375"/>
      <c r="BJ77" s="1641"/>
      <c r="BK77" s="631"/>
      <c r="BL77" s="631"/>
      <c r="BM77" s="631"/>
      <c r="BN77" s="631"/>
      <c r="BO77" s="1650">
        <v>11</v>
      </c>
    </row>
    <row s="1650" customFormat="1" customHeight="1" ht="11.549999999999999">
      <c r="A78" s="996"/>
      <c r="B78" s="996"/>
      <c r="C78" s="996"/>
      <c r="D78" s="996"/>
      <c r="E78" s="996"/>
      <c r="F78" s="1645"/>
      <c r="G78" s="1645"/>
      <c r="H78" s="36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650"/>
      <c r="AM78" s="1650"/>
      <c r="AN78" s="1650"/>
      <c r="AO78" s="1650"/>
      <c r="AP78" s="1650"/>
      <c r="AQ78" s="1650"/>
      <c r="AR78" s="1375"/>
      <c r="AT78" s="1375"/>
      <c r="AU78" s="1645"/>
      <c r="AV78" s="1645"/>
      <c r="AW78" s="1375"/>
      <c r="AX78" s="1375"/>
      <c r="AY78" s="1375"/>
      <c r="AZ78" s="1375"/>
      <c r="BA78" s="1645"/>
      <c r="BB78" s="1375"/>
      <c r="BC78" s="1375"/>
      <c r="BD78" s="553"/>
      <c r="BE78" s="1375"/>
      <c r="BF78" s="1375"/>
      <c r="BG78" s="1375"/>
      <c r="BH78" s="1375"/>
      <c r="BI78" s="1375"/>
      <c r="BJ78" s="1641"/>
      <c r="BK78" s="631"/>
      <c r="BL78" s="631"/>
      <c r="BM78" s="631"/>
      <c r="BN78" s="631"/>
      <c r="BO78" s="1650">
        <v>11</v>
      </c>
    </row>
    <row s="1650" customFormat="1" customHeight="1" ht="11.549999999999999">
      <c r="A79" s="996"/>
      <c r="B79" s="996"/>
      <c r="C79" s="996"/>
      <c r="D79" s="996"/>
      <c r="E79" s="996"/>
      <c r="F79" s="1645"/>
      <c r="G79" s="1645"/>
      <c r="H79" s="36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650"/>
      <c r="AM79" s="1650"/>
      <c r="AN79" s="1650"/>
      <c r="AO79" s="1650"/>
      <c r="AP79" s="1650"/>
      <c r="AQ79" s="1650"/>
      <c r="AR79" s="1375"/>
      <c r="AT79" s="1375"/>
      <c r="AU79" s="1645"/>
      <c r="AV79" s="1645"/>
      <c r="AW79" s="1375"/>
      <c r="AX79" s="1375"/>
      <c r="AY79" s="1375"/>
      <c r="AZ79" s="1375"/>
      <c r="BA79" s="1645"/>
      <c r="BB79" s="1375"/>
      <c r="BC79" s="1375"/>
      <c r="BD79" s="553"/>
      <c r="BE79" s="1375"/>
      <c r="BF79" s="1375"/>
      <c r="BG79" s="1375"/>
      <c r="BH79" s="1375"/>
      <c r="BI79" s="1375"/>
      <c r="BJ79" s="1641"/>
      <c r="BK79" s="631"/>
      <c r="BL79" s="631"/>
      <c r="BM79" s="631"/>
      <c r="BN79" s="631"/>
      <c r="BO79" s="1650">
        <v>11</v>
      </c>
    </row>
    <row s="1650" customFormat="1" customHeight="1" ht="11.549999999999999">
      <c r="A80" s="996"/>
      <c r="B80" s="996"/>
      <c r="C80" s="996"/>
      <c r="D80" s="996"/>
      <c r="E80" s="996"/>
      <c r="F80" s="1645"/>
      <c r="G80" s="1645"/>
      <c r="H80" s="36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650"/>
      <c r="AM80" s="1650"/>
      <c r="AN80" s="1650"/>
      <c r="AO80" s="1650"/>
      <c r="AP80" s="1650"/>
      <c r="AQ80" s="1650"/>
      <c r="AR80" s="1375"/>
      <c r="AT80" s="1375"/>
      <c r="AU80" s="1645"/>
      <c r="AV80" s="1645"/>
      <c r="AW80" s="1375"/>
      <c r="AX80" s="1375"/>
      <c r="AY80" s="1375"/>
      <c r="AZ80" s="1375"/>
      <c r="BA80" s="1645"/>
      <c r="BB80" s="1375"/>
      <c r="BC80" s="1375"/>
      <c r="BD80" s="553"/>
      <c r="BE80" s="1375"/>
      <c r="BF80" s="1375"/>
      <c r="BG80" s="1375"/>
      <c r="BH80" s="1375"/>
      <c r="BI80" s="1375"/>
      <c r="BJ80" s="1641"/>
      <c r="BK80" s="631"/>
      <c r="BL80" s="631"/>
      <c r="BM80" s="631"/>
      <c r="BN80" s="631"/>
      <c r="BO80" s="1650">
        <v>11</v>
      </c>
    </row>
    <row s="1650" customFormat="1" customHeight="1" ht="11.549999999999999">
      <c r="A81" s="996"/>
      <c r="B81" s="996"/>
      <c r="C81" s="996"/>
      <c r="D81" s="996"/>
      <c r="E81" s="996"/>
      <c r="F81" s="1645"/>
      <c r="G81" s="1645"/>
      <c r="H81" s="36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650"/>
      <c r="AM81" s="1650"/>
      <c r="AN81" s="1650"/>
      <c r="AO81" s="1650"/>
      <c r="AP81" s="1650"/>
      <c r="AQ81" s="1650"/>
      <c r="AR81" s="1375"/>
      <c r="AT81" s="1375"/>
      <c r="AU81" s="1645"/>
      <c r="AV81" s="1645"/>
      <c r="AW81" s="1375"/>
      <c r="AX81" s="1375"/>
      <c r="AY81" s="1375"/>
      <c r="AZ81" s="1375"/>
      <c r="BA81" s="1645"/>
      <c r="BB81" s="1375"/>
      <c r="BC81" s="1375"/>
      <c r="BD81" s="553"/>
      <c r="BE81" s="1375"/>
      <c r="BF81" s="1375"/>
      <c r="BG81" s="1375"/>
      <c r="BH81" s="1375"/>
      <c r="BI81" s="1375"/>
      <c r="BJ81" s="1641"/>
      <c r="BK81" s="631"/>
      <c r="BL81" s="631"/>
      <c r="BM81" s="631"/>
      <c r="BN81" s="631"/>
      <c r="BO81" s="1650">
        <v>11</v>
      </c>
    </row>
    <row s="1650" customFormat="1" customHeight="1" ht="11.549999999999999">
      <c r="A82" s="996"/>
      <c r="B82" s="996"/>
      <c r="C82" s="996"/>
      <c r="D82" s="996"/>
      <c r="E82" s="996"/>
      <c r="F82" s="1645"/>
      <c r="G82" s="1645"/>
      <c r="H82" s="36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650"/>
      <c r="AM82" s="1650"/>
      <c r="AN82" s="1650"/>
      <c r="AO82" s="1650"/>
      <c r="AP82" s="1650"/>
      <c r="AQ82" s="1650"/>
      <c r="AR82" s="1375"/>
      <c r="AT82" s="1375"/>
      <c r="AU82" s="1645"/>
      <c r="AV82" s="1645"/>
      <c r="AW82" s="1375"/>
      <c r="AX82" s="1375"/>
      <c r="AY82" s="1375"/>
      <c r="AZ82" s="1375"/>
      <c r="BA82" s="1645"/>
      <c r="BB82" s="1375"/>
      <c r="BC82" s="1375"/>
      <c r="BD82" s="553"/>
      <c r="BE82" s="1375"/>
      <c r="BF82" s="1375"/>
      <c r="BG82" s="1375"/>
      <c r="BH82" s="1375"/>
      <c r="BI82" s="1375"/>
      <c r="BJ82" s="1641"/>
      <c r="BK82" s="631"/>
      <c r="BL82" s="631"/>
      <c r="BM82" s="631"/>
      <c r="BN82" s="631"/>
      <c r="BO82" s="1650">
        <v>11</v>
      </c>
    </row>
    <row s="1650" customFormat="1" customHeight="1" ht="11.549999999999999">
      <c r="A83" s="996"/>
      <c r="B83" s="996"/>
      <c r="C83" s="996"/>
      <c r="D83" s="996"/>
      <c r="E83" s="996"/>
      <c r="F83" s="1645"/>
      <c r="G83" s="1645"/>
      <c r="H83" s="36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650"/>
      <c r="AM83" s="1650"/>
      <c r="AN83" s="1650"/>
      <c r="AO83" s="1650"/>
      <c r="AP83" s="1650"/>
      <c r="AQ83" s="1650"/>
      <c r="AR83" s="1375"/>
      <c r="AT83" s="1375"/>
      <c r="AU83" s="1645"/>
      <c r="AV83" s="1645"/>
      <c r="AW83" s="1375"/>
      <c r="AX83" s="1375"/>
      <c r="AY83" s="1375"/>
      <c r="AZ83" s="1375"/>
      <c r="BA83" s="1645"/>
      <c r="BB83" s="1375"/>
      <c r="BC83" s="1375"/>
      <c r="BD83" s="553"/>
      <c r="BE83" s="1375"/>
      <c r="BF83" s="1375"/>
      <c r="BG83" s="1375"/>
      <c r="BH83" s="1375"/>
      <c r="BI83" s="1375"/>
      <c r="BJ83" s="1641"/>
      <c r="BK83" s="631"/>
      <c r="BL83" s="631"/>
      <c r="BM83" s="631"/>
      <c r="BN83" s="631"/>
      <c r="BO83" s="1650">
        <v>11</v>
      </c>
    </row>
    <row s="1650" customFormat="1" customHeight="1" ht="11.549999999999999">
      <c r="A84" s="996"/>
      <c r="B84" s="996"/>
      <c r="C84" s="996"/>
      <c r="D84" s="996"/>
      <c r="E84" s="996"/>
      <c r="F84" s="1645"/>
      <c r="G84" s="1645"/>
      <c r="H84" s="36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650"/>
      <c r="AM84" s="1650"/>
      <c r="AN84" s="1650"/>
      <c r="AO84" s="1650"/>
      <c r="AP84" s="1650"/>
      <c r="AQ84" s="1650"/>
      <c r="AR84" s="1375"/>
      <c r="AT84" s="1375"/>
      <c r="AU84" s="1645"/>
      <c r="AV84" s="1645"/>
      <c r="AW84" s="1375"/>
      <c r="AX84" s="1375"/>
      <c r="AY84" s="1375"/>
      <c r="AZ84" s="1375"/>
      <c r="BA84" s="1645"/>
      <c r="BB84" s="1375"/>
      <c r="BC84" s="1375"/>
      <c r="BD84" s="553"/>
      <c r="BE84" s="1375"/>
      <c r="BF84" s="1375"/>
      <c r="BG84" s="1375"/>
      <c r="BH84" s="1375"/>
      <c r="BI84" s="1375"/>
      <c r="BJ84" s="1641"/>
      <c r="BK84" s="631"/>
      <c r="BL84" s="631"/>
      <c r="BM84" s="631"/>
      <c r="BN84" s="631"/>
      <c r="BO84" s="1650">
        <v>11</v>
      </c>
    </row>
    <row s="1650" customFormat="1" customHeight="1" ht="11.549999999999999">
      <c r="A85" s="996"/>
      <c r="B85" s="996"/>
      <c r="C85" s="996"/>
      <c r="D85" s="996"/>
      <c r="E85" s="996"/>
      <c r="F85" s="1645"/>
      <c r="G85" s="1645"/>
      <c r="H85" s="36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L85" s="1650"/>
      <c r="AM85" s="1650"/>
      <c r="AN85" s="1650"/>
      <c r="AO85" s="1650"/>
      <c r="AP85" s="1650"/>
      <c r="AQ85" s="1650"/>
      <c r="AR85" s="1375"/>
      <c r="AT85" s="1375"/>
      <c r="AU85" s="1645"/>
      <c r="AV85" s="1645"/>
      <c r="AW85" s="1375"/>
      <c r="AX85" s="1375"/>
      <c r="AY85" s="1375"/>
      <c r="AZ85" s="1375"/>
      <c r="BA85" s="1645"/>
      <c r="BB85" s="1375"/>
      <c r="BC85" s="1375"/>
      <c r="BD85" s="553"/>
      <c r="BE85" s="1375"/>
      <c r="BF85" s="1375"/>
      <c r="BG85" s="1375"/>
      <c r="BH85" s="1375"/>
      <c r="BI85" s="1375"/>
      <c r="BJ85" s="1641"/>
      <c r="BK85" s="631"/>
      <c r="BL85" s="631"/>
      <c r="BM85" s="631"/>
      <c r="BN85" s="631"/>
      <c r="BO85" s="1650">
        <v>11</v>
      </c>
    </row>
    <row s="1650" customFormat="1" customHeight="1" ht="11.549999999999999">
      <c r="A86" s="996"/>
      <c r="B86" s="996"/>
      <c r="C86" s="996"/>
      <c r="D86" s="996"/>
      <c r="E86" s="996"/>
      <c r="F86" s="1645"/>
      <c r="G86" s="1645"/>
      <c r="H86" s="360"/>
      <c r="N86" s="1650"/>
      <c r="O86" s="1650"/>
      <c r="P86" s="1650"/>
      <c r="Q86" s="1650"/>
      <c r="R86" s="1650"/>
      <c r="S86" s="1650"/>
      <c r="T86" s="1650"/>
      <c r="U86" s="1650"/>
      <c r="V86" s="1650"/>
      <c r="W86" s="1650"/>
      <c r="X86" s="1650"/>
      <c r="Y86" s="1650"/>
      <c r="Z86" s="1650"/>
      <c r="AA86" s="1650"/>
      <c r="AB86" s="1650"/>
      <c r="AC86" s="1650"/>
      <c r="AD86" s="1650"/>
      <c r="AE86" s="1650"/>
      <c r="AF86" s="1650"/>
      <c r="AG86" s="1650"/>
      <c r="AH86" s="1650"/>
      <c r="AI86" s="1650"/>
      <c r="AJ86" s="1650"/>
      <c r="AK86" s="1650"/>
      <c r="AL86" s="1650"/>
      <c r="AM86" s="1650"/>
      <c r="AN86" s="1650"/>
      <c r="AO86" s="1650"/>
      <c r="AP86" s="1650"/>
      <c r="AQ86" s="1650"/>
      <c r="AR86" s="1375"/>
      <c r="AT86" s="1375"/>
      <c r="AU86" s="1645"/>
      <c r="AV86" s="1645"/>
      <c r="AW86" s="1375"/>
      <c r="AX86" s="1375"/>
      <c r="AY86" s="1375"/>
      <c r="AZ86" s="1375"/>
      <c r="BA86" s="1645"/>
      <c r="BB86" s="1375"/>
      <c r="BC86" s="1375"/>
      <c r="BD86" s="553"/>
      <c r="BE86" s="1375"/>
      <c r="BF86" s="1375"/>
      <c r="BG86" s="1375"/>
      <c r="BH86" s="1375"/>
      <c r="BI86" s="1375"/>
      <c r="BJ86" s="1641"/>
      <c r="BK86" s="631"/>
      <c r="BL86" s="631"/>
      <c r="BM86" s="631"/>
      <c r="BN86" s="631"/>
      <c r="BO86" s="1650">
        <v>11</v>
      </c>
    </row>
    <row s="1650" customFormat="1" customHeight="1" ht="11.549999999999999">
      <c r="A87" s="996"/>
      <c r="B87" s="996"/>
      <c r="C87" s="996"/>
      <c r="D87" s="996"/>
      <c r="E87" s="996"/>
      <c r="F87" s="1645"/>
      <c r="G87" s="1645"/>
      <c r="H87" s="360"/>
      <c r="N87" s="1650"/>
      <c r="O87" s="1650"/>
      <c r="P87" s="1650"/>
      <c r="Q87" s="1650"/>
      <c r="R87" s="1650"/>
      <c r="S87" s="1650"/>
      <c r="T87" s="1650"/>
      <c r="U87" s="1650"/>
      <c r="V87" s="1650"/>
      <c r="W87" s="1650"/>
      <c r="X87" s="1650"/>
      <c r="Y87" s="1650"/>
      <c r="Z87" s="1650"/>
      <c r="AA87" s="1650"/>
      <c r="AB87" s="1650"/>
      <c r="AC87" s="1650"/>
      <c r="AD87" s="1650"/>
      <c r="AE87" s="1650"/>
      <c r="AF87" s="1650"/>
      <c r="AG87" s="1650"/>
      <c r="AH87" s="1650"/>
      <c r="AI87" s="1650"/>
      <c r="AJ87" s="1650"/>
      <c r="AK87" s="1650"/>
      <c r="AL87" s="1650"/>
      <c r="AM87" s="1650"/>
      <c r="AN87" s="1650"/>
      <c r="AO87" s="1650"/>
      <c r="AP87" s="1650"/>
      <c r="AQ87" s="1650"/>
      <c r="AR87" s="1375"/>
      <c r="AT87" s="1375"/>
      <c r="AU87" s="1645"/>
      <c r="AV87" s="1645"/>
      <c r="AW87" s="1375"/>
      <c r="AX87" s="1375"/>
      <c r="AY87" s="1375"/>
      <c r="AZ87" s="1375"/>
      <c r="BA87" s="1645"/>
      <c r="BB87" s="1375"/>
      <c r="BC87" s="1375"/>
      <c r="BD87" s="553"/>
      <c r="BE87" s="1375"/>
      <c r="BF87" s="1375"/>
      <c r="BG87" s="1375"/>
      <c r="BH87" s="1375"/>
      <c r="BI87" s="1375"/>
      <c r="BJ87" s="1641"/>
      <c r="BK87" s="631"/>
      <c r="BL87" s="631"/>
      <c r="BM87" s="631"/>
      <c r="BN87" s="631"/>
      <c r="BO87" s="1650">
        <v>11</v>
      </c>
    </row>
    <row s="1650" customFormat="1" customHeight="1" ht="11.549999999999999">
      <c r="A88" s="996"/>
      <c r="B88" s="996"/>
      <c r="C88" s="996"/>
      <c r="D88" s="996"/>
      <c r="E88" s="996"/>
      <c r="F88" s="1645"/>
      <c r="G88" s="1645"/>
      <c r="H88" s="360"/>
      <c r="N88" s="1650"/>
      <c r="O88" s="1650"/>
      <c r="P88" s="1650"/>
      <c r="Q88" s="1650"/>
      <c r="R88" s="1650"/>
      <c r="S88" s="1650"/>
      <c r="T88" s="1650"/>
      <c r="U88" s="1650"/>
      <c r="V88" s="1650"/>
      <c r="W88" s="1650"/>
      <c r="X88" s="1650"/>
      <c r="Y88" s="1650"/>
      <c r="Z88" s="1650"/>
      <c r="AA88" s="1650"/>
      <c r="AB88" s="1650"/>
      <c r="AC88" s="1650"/>
      <c r="AD88" s="1650"/>
      <c r="AE88" s="1650"/>
      <c r="AF88" s="1650"/>
      <c r="AG88" s="1650"/>
      <c r="AH88" s="1650"/>
      <c r="AI88" s="1650"/>
      <c r="AJ88" s="1650"/>
      <c r="AK88" s="1650"/>
      <c r="AL88" s="1650"/>
      <c r="AM88" s="1650"/>
      <c r="AN88" s="1650"/>
      <c r="AO88" s="1650"/>
      <c r="AP88" s="1650"/>
      <c r="AQ88" s="1650"/>
      <c r="AR88" s="1375"/>
      <c r="AT88" s="1375"/>
      <c r="AU88" s="1645"/>
      <c r="AV88" s="1645"/>
      <c r="AW88" s="1375"/>
      <c r="AX88" s="1375"/>
      <c r="AY88" s="1375"/>
      <c r="AZ88" s="1375"/>
      <c r="BA88" s="1645"/>
      <c r="BB88" s="1375"/>
      <c r="BC88" s="1375"/>
      <c r="BD88" s="553"/>
      <c r="BE88" s="1375"/>
      <c r="BF88" s="1375"/>
      <c r="BG88" s="1375"/>
      <c r="BH88" s="1375"/>
      <c r="BI88" s="1375"/>
      <c r="BJ88" s="1641"/>
      <c r="BK88" s="631"/>
      <c r="BL88" s="631"/>
      <c r="BM88" s="631"/>
      <c r="BN88" s="631"/>
      <c r="BO88" s="1650">
        <v>11</v>
      </c>
    </row>
    <row s="1650" customFormat="1" customHeight="1" ht="11.549999999999999">
      <c r="A89" s="996"/>
      <c r="B89" s="996"/>
      <c r="C89" s="996"/>
      <c r="D89" s="996"/>
      <c r="E89" s="996"/>
      <c r="F89" s="1645"/>
      <c r="G89" s="1645"/>
      <c r="H89" s="360"/>
      <c r="N89" s="1650"/>
      <c r="O89" s="1650"/>
      <c r="P89" s="1650"/>
      <c r="Q89" s="1650"/>
      <c r="R89" s="1650"/>
      <c r="S89" s="1650"/>
      <c r="T89" s="1650"/>
      <c r="U89" s="1650"/>
      <c r="V89" s="1650"/>
      <c r="W89" s="1650"/>
      <c r="X89" s="1650"/>
      <c r="Y89" s="1650"/>
      <c r="Z89" s="1650"/>
      <c r="AA89" s="1650"/>
      <c r="AB89" s="1650"/>
      <c r="AC89" s="1650"/>
      <c r="AD89" s="1650"/>
      <c r="AE89" s="1650"/>
      <c r="AF89" s="1650"/>
      <c r="AG89" s="1650"/>
      <c r="AH89" s="1650"/>
      <c r="AI89" s="1650"/>
      <c r="AJ89" s="1650"/>
      <c r="AK89" s="1650"/>
      <c r="AL89" s="1650"/>
      <c r="AM89" s="1650"/>
      <c r="AN89" s="1650"/>
      <c r="AO89" s="1650"/>
      <c r="AP89" s="1650"/>
      <c r="AQ89" s="1650"/>
      <c r="AR89" s="1375"/>
      <c r="AT89" s="1375"/>
      <c r="AU89" s="1645"/>
      <c r="AV89" s="1645"/>
      <c r="AW89" s="1375"/>
      <c r="AX89" s="1375"/>
      <c r="AY89" s="1375"/>
      <c r="AZ89" s="1375"/>
      <c r="BA89" s="1645"/>
      <c r="BB89" s="1375"/>
      <c r="BC89" s="1375"/>
      <c r="BD89" s="553"/>
      <c r="BE89" s="1375"/>
      <c r="BF89" s="1375"/>
      <c r="BG89" s="1375"/>
      <c r="BH89" s="1375"/>
      <c r="BI89" s="1375"/>
      <c r="BJ89" s="1641"/>
      <c r="BK89" s="631"/>
      <c r="BL89" s="631"/>
      <c r="BM89" s="631"/>
      <c r="BN89" s="631"/>
      <c r="BO89" s="1650">
        <v>11</v>
      </c>
    </row>
    <row s="1650" customFormat="1" customHeight="1" ht="11.549999999999999">
      <c r="A90" s="996"/>
      <c r="B90" s="996"/>
      <c r="C90" s="996"/>
      <c r="D90" s="996"/>
      <c r="E90" s="996"/>
      <c r="F90" s="1645"/>
      <c r="G90" s="1645"/>
      <c r="H90" s="360"/>
      <c r="N90" s="1650"/>
      <c r="O90" s="1650"/>
      <c r="P90" s="1650"/>
      <c r="Q90" s="1650"/>
      <c r="R90" s="1650"/>
      <c r="S90" s="1650"/>
      <c r="T90" s="1650"/>
      <c r="U90" s="1650"/>
      <c r="V90" s="1650"/>
      <c r="W90" s="1650"/>
      <c r="X90" s="1650"/>
      <c r="Y90" s="1650"/>
      <c r="Z90" s="1650"/>
      <c r="AA90" s="1650"/>
      <c r="AB90" s="1650"/>
      <c r="AC90" s="1650"/>
      <c r="AD90" s="1650"/>
      <c r="AE90" s="1650"/>
      <c r="AF90" s="1650"/>
      <c r="AG90" s="1650"/>
      <c r="AH90" s="1650"/>
      <c r="AI90" s="1650"/>
      <c r="AJ90" s="1650"/>
      <c r="AK90" s="1650"/>
      <c r="AL90" s="1650"/>
      <c r="AM90" s="1650"/>
      <c r="AN90" s="1650"/>
      <c r="AO90" s="1650"/>
      <c r="AP90" s="1650"/>
      <c r="AQ90" s="1650"/>
      <c r="AR90" s="1375"/>
      <c r="AT90" s="1375"/>
      <c r="AU90" s="1645"/>
      <c r="AV90" s="1645"/>
      <c r="AW90" s="1375"/>
      <c r="AX90" s="1375"/>
      <c r="AY90" s="1375"/>
      <c r="AZ90" s="1375"/>
      <c r="BA90" s="1645"/>
      <c r="BB90" s="1375"/>
      <c r="BC90" s="1375"/>
      <c r="BD90" s="553"/>
      <c r="BE90" s="1375"/>
      <c r="BF90" s="1375"/>
      <c r="BG90" s="1375"/>
      <c r="BH90" s="1375"/>
      <c r="BI90" s="1375"/>
      <c r="BJ90" s="1641"/>
      <c r="BK90" s="631"/>
      <c r="BL90" s="631"/>
      <c r="BM90" s="631"/>
      <c r="BN90" s="631"/>
      <c r="BO90" s="1650">
        <v>11</v>
      </c>
    </row>
    <row s="1650" customFormat="1" customHeight="1" ht="11.549999999999999">
      <c r="A91" s="996"/>
      <c r="B91" s="996"/>
      <c r="C91" s="996"/>
      <c r="D91" s="996"/>
      <c r="E91" s="996"/>
      <c r="F91" s="1645"/>
      <c r="G91" s="1645"/>
      <c r="H91" s="360"/>
      <c r="N91" s="1650"/>
      <c r="O91" s="1650"/>
      <c r="P91" s="1650"/>
      <c r="Q91" s="1650"/>
      <c r="R91" s="1650"/>
      <c r="S91" s="1650"/>
      <c r="T91" s="1650"/>
      <c r="U91" s="1650"/>
      <c r="V91" s="1650"/>
      <c r="W91" s="1650"/>
      <c r="X91" s="1650"/>
      <c r="Y91" s="1650"/>
      <c r="Z91" s="1650"/>
      <c r="AA91" s="1650"/>
      <c r="AB91" s="1650"/>
      <c r="AC91" s="1650"/>
      <c r="AD91" s="1650"/>
      <c r="AE91" s="1650"/>
      <c r="AF91" s="1650"/>
      <c r="AG91" s="1650"/>
      <c r="AH91" s="1650"/>
      <c r="AI91" s="1650"/>
      <c r="AJ91" s="1650"/>
      <c r="AK91" s="1650"/>
      <c r="AL91" s="1650"/>
      <c r="AM91" s="1650"/>
      <c r="AN91" s="1650"/>
      <c r="AO91" s="1650"/>
      <c r="AP91" s="1650"/>
      <c r="AQ91" s="1650"/>
      <c r="AR91" s="1375"/>
      <c r="AT91" s="1375"/>
      <c r="AU91" s="1645"/>
      <c r="AV91" s="1645"/>
      <c r="AW91" s="1375"/>
      <c r="AX91" s="1375"/>
      <c r="AY91" s="1375"/>
      <c r="AZ91" s="1375"/>
      <c r="BA91" s="1645"/>
      <c r="BB91" s="1375"/>
      <c r="BC91" s="1375"/>
      <c r="BD91" s="553"/>
      <c r="BE91" s="1375"/>
      <c r="BF91" s="1375"/>
      <c r="BG91" s="1375"/>
      <c r="BH91" s="1375"/>
      <c r="BI91" s="1375"/>
      <c r="BJ91" s="1641"/>
      <c r="BK91" s="631"/>
      <c r="BL91" s="631"/>
      <c r="BM91" s="631"/>
      <c r="BN91" s="631"/>
      <c r="BO91" s="1650">
        <v>11</v>
      </c>
    </row>
    <row s="1650" customFormat="1" customHeight="1" ht="11.549999999999999">
      <c r="A92" s="996"/>
      <c r="B92" s="996"/>
      <c r="C92" s="996"/>
      <c r="D92" s="996"/>
      <c r="E92" s="996"/>
      <c r="F92" s="1645"/>
      <c r="G92" s="1645"/>
      <c r="H92" s="360"/>
      <c r="N92" s="1650"/>
      <c r="O92" s="1650"/>
      <c r="P92" s="1650"/>
      <c r="Q92" s="1650"/>
      <c r="R92" s="1650"/>
      <c r="S92" s="1650"/>
      <c r="T92" s="1650"/>
      <c r="U92" s="1650"/>
      <c r="V92" s="1650"/>
      <c r="W92" s="1650"/>
      <c r="X92" s="1650"/>
      <c r="Y92" s="1650"/>
      <c r="Z92" s="1650"/>
      <c r="AA92" s="1650"/>
      <c r="AB92" s="1650"/>
      <c r="AC92" s="1650"/>
      <c r="AD92" s="1650"/>
      <c r="AE92" s="1650"/>
      <c r="AF92" s="1650"/>
      <c r="AG92" s="1650"/>
      <c r="AH92" s="1650"/>
      <c r="AI92" s="1650"/>
      <c r="AJ92" s="1650"/>
      <c r="AK92" s="1650"/>
      <c r="AL92" s="1650"/>
      <c r="AM92" s="1650"/>
      <c r="AN92" s="1650"/>
      <c r="AO92" s="1650"/>
      <c r="AP92" s="1650"/>
      <c r="AQ92" s="1650"/>
      <c r="AR92" s="1375"/>
      <c r="AT92" s="1375"/>
      <c r="AU92" s="1645"/>
      <c r="AV92" s="1645"/>
      <c r="AW92" s="1375"/>
      <c r="AX92" s="1375"/>
      <c r="AY92" s="1375"/>
      <c r="AZ92" s="1375"/>
      <c r="BA92" s="1645"/>
      <c r="BB92" s="1375"/>
      <c r="BC92" s="1375"/>
      <c r="BD92" s="553"/>
      <c r="BE92" s="1375"/>
      <c r="BF92" s="1375"/>
      <c r="BG92" s="1375"/>
      <c r="BH92" s="1375"/>
      <c r="BI92" s="1375"/>
      <c r="BJ92" s="1641"/>
      <c r="BK92" s="631"/>
      <c r="BL92" s="631"/>
      <c r="BM92" s="631"/>
      <c r="BN92" s="631"/>
      <c r="BO92" s="1650">
        <v>11</v>
      </c>
    </row>
    <row s="1650" customFormat="1" customHeight="1" ht="11.549999999999999">
      <c r="A93" s="996"/>
      <c r="B93" s="996"/>
      <c r="C93" s="996"/>
      <c r="D93" s="996"/>
      <c r="E93" s="996"/>
      <c r="F93" s="1645"/>
      <c r="G93" s="1645"/>
      <c r="H93" s="360"/>
      <c r="N93" s="1650"/>
      <c r="O93" s="1650"/>
      <c r="P93" s="1650"/>
      <c r="Q93" s="1650"/>
      <c r="R93" s="1650"/>
      <c r="S93" s="1650"/>
      <c r="T93" s="1650"/>
      <c r="U93" s="1650"/>
      <c r="V93" s="1650"/>
      <c r="W93" s="1650"/>
      <c r="X93" s="1650"/>
      <c r="Y93" s="1650"/>
      <c r="Z93" s="1650"/>
      <c r="AA93" s="1650"/>
      <c r="AB93" s="1650"/>
      <c r="AC93" s="1650"/>
      <c r="AD93" s="1650"/>
      <c r="AE93" s="1650"/>
      <c r="AF93" s="1650"/>
      <c r="AG93" s="1650"/>
      <c r="AH93" s="1650"/>
      <c r="AI93" s="1650"/>
      <c r="AJ93" s="1650"/>
      <c r="AK93" s="1650"/>
      <c r="AL93" s="1650"/>
      <c r="AM93" s="1650"/>
      <c r="AN93" s="1650"/>
      <c r="AO93" s="1650"/>
      <c r="AP93" s="1650"/>
      <c r="AQ93" s="1650"/>
      <c r="AR93" s="1375"/>
      <c r="AT93" s="1375"/>
      <c r="AU93" s="1645"/>
      <c r="AV93" s="1645"/>
      <c r="AW93" s="1375"/>
      <c r="AX93" s="1375"/>
      <c r="AY93" s="1375"/>
      <c r="AZ93" s="1375"/>
      <c r="BA93" s="1645"/>
      <c r="BB93" s="1375"/>
      <c r="BC93" s="1375"/>
      <c r="BD93" s="553"/>
      <c r="BE93" s="1375"/>
      <c r="BF93" s="1375"/>
      <c r="BG93" s="1375"/>
      <c r="BH93" s="1375"/>
      <c r="BI93" s="1375"/>
      <c r="BJ93" s="1641"/>
      <c r="BK93" s="631"/>
      <c r="BL93" s="631"/>
      <c r="BM93" s="631"/>
      <c r="BN93" s="631"/>
      <c r="BO93" s="1650">
        <v>11</v>
      </c>
    </row>
    <row s="1650" customFormat="1" customHeight="1" ht="11.549999999999999">
      <c r="A94" s="996"/>
      <c r="B94" s="996"/>
      <c r="C94" s="996"/>
      <c r="D94" s="996"/>
      <c r="E94" s="996"/>
      <c r="F94" s="1645"/>
      <c r="G94" s="1645"/>
      <c r="H94" s="360"/>
      <c r="N94" s="1650"/>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1650"/>
      <c r="AM94" s="1650"/>
      <c r="AN94" s="1650"/>
      <c r="AO94" s="1650"/>
      <c r="AP94" s="1650"/>
      <c r="AQ94" s="1650"/>
      <c r="AR94" s="1375"/>
      <c r="AT94" s="1375"/>
      <c r="AU94" s="1645"/>
      <c r="AV94" s="1645"/>
      <c r="AW94" s="1375"/>
      <c r="AX94" s="1375"/>
      <c r="AY94" s="1375"/>
      <c r="AZ94" s="1375"/>
      <c r="BA94" s="1645"/>
      <c r="BB94" s="1375"/>
      <c r="BC94" s="1375"/>
      <c r="BD94" s="553"/>
      <c r="BE94" s="1375"/>
      <c r="BF94" s="1375"/>
      <c r="BG94" s="1375"/>
      <c r="BH94" s="1375"/>
      <c r="BI94" s="1375"/>
      <c r="BJ94" s="1641"/>
      <c r="BK94" s="631"/>
      <c r="BL94" s="631"/>
      <c r="BM94" s="631"/>
      <c r="BN94" s="631"/>
      <c r="BO94" s="1650">
        <v>11</v>
      </c>
    </row>
    <row s="1650" customFormat="1" customHeight="1" ht="11.549999999999999">
      <c r="A95" s="996"/>
      <c r="B95" s="996"/>
      <c r="C95" s="996"/>
      <c r="D95" s="996"/>
      <c r="E95" s="996"/>
      <c r="F95" s="1645"/>
      <c r="G95" s="1645"/>
      <c r="H95" s="360"/>
      <c r="N95" s="1650"/>
      <c r="O95" s="1650"/>
      <c r="P95" s="1650"/>
      <c r="Q95" s="1650"/>
      <c r="R95" s="1650"/>
      <c r="S95" s="1650"/>
      <c r="T95" s="1650"/>
      <c r="U95" s="1650"/>
      <c r="V95" s="1650"/>
      <c r="W95" s="1650"/>
      <c r="X95" s="1650"/>
      <c r="Y95" s="1650"/>
      <c r="Z95" s="1650"/>
      <c r="AA95" s="1650"/>
      <c r="AB95" s="1650"/>
      <c r="AC95" s="1650"/>
      <c r="AD95" s="1650"/>
      <c r="AE95" s="1650"/>
      <c r="AF95" s="1650"/>
      <c r="AG95" s="1650"/>
      <c r="AH95" s="1650"/>
      <c r="AI95" s="1650"/>
      <c r="AJ95" s="1650"/>
      <c r="AK95" s="1650"/>
      <c r="AL95" s="1650"/>
      <c r="AM95" s="1650"/>
      <c r="AN95" s="1650"/>
      <c r="AO95" s="1650"/>
      <c r="AP95" s="1650"/>
      <c r="AQ95" s="1650"/>
      <c r="AR95" s="1375"/>
      <c r="AT95" s="1375"/>
      <c r="AU95" s="1645"/>
      <c r="AV95" s="1645"/>
      <c r="AW95" s="1375"/>
      <c r="AX95" s="1375"/>
      <c r="AY95" s="1375"/>
      <c r="AZ95" s="1375"/>
      <c r="BA95" s="1645"/>
      <c r="BB95" s="1375"/>
      <c r="BC95" s="1375"/>
      <c r="BD95" s="553"/>
      <c r="BE95" s="1375"/>
      <c r="BF95" s="1375"/>
      <c r="BG95" s="1375"/>
      <c r="BH95" s="1375"/>
      <c r="BI95" s="1375"/>
      <c r="BJ95" s="1641"/>
      <c r="BK95" s="631"/>
      <c r="BL95" s="631"/>
      <c r="BM95" s="631"/>
      <c r="BN95" s="631"/>
      <c r="BO95" s="1650">
        <v>11</v>
      </c>
    </row>
    <row s="1650" customFormat="1" customHeight="1" ht="11.549999999999999">
      <c r="A96" s="996"/>
      <c r="B96" s="996"/>
      <c r="C96" s="996"/>
      <c r="D96" s="996"/>
      <c r="E96" s="996"/>
      <c r="F96" s="1645"/>
      <c r="G96" s="1645"/>
      <c r="H96" s="360"/>
      <c r="N96" s="1650"/>
      <c r="O96" s="1650"/>
      <c r="P96" s="1650"/>
      <c r="Q96" s="1650"/>
      <c r="R96" s="1650"/>
      <c r="S96" s="1650"/>
      <c r="T96" s="1650"/>
      <c r="U96" s="1650"/>
      <c r="V96" s="1650"/>
      <c r="W96" s="1650"/>
      <c r="X96" s="1650"/>
      <c r="Y96" s="1650"/>
      <c r="Z96" s="1650"/>
      <c r="AA96" s="1650"/>
      <c r="AB96" s="1650"/>
      <c r="AC96" s="1650"/>
      <c r="AD96" s="1650"/>
      <c r="AE96" s="1650"/>
      <c r="AF96" s="1650"/>
      <c r="AG96" s="1650"/>
      <c r="AH96" s="1650"/>
      <c r="AI96" s="1650"/>
      <c r="AJ96" s="1650"/>
      <c r="AK96" s="1650"/>
      <c r="AL96" s="1650"/>
      <c r="AM96" s="1650"/>
      <c r="AN96" s="1650"/>
      <c r="AO96" s="1650"/>
      <c r="AP96" s="1650"/>
      <c r="AQ96" s="1650"/>
      <c r="AR96" s="1375"/>
      <c r="AT96" s="1375"/>
      <c r="AU96" s="1645"/>
      <c r="AV96" s="1645"/>
      <c r="AW96" s="1375"/>
      <c r="AX96" s="1375"/>
      <c r="AY96" s="1375"/>
      <c r="AZ96" s="1375"/>
      <c r="BA96" s="1645"/>
      <c r="BB96" s="1375"/>
      <c r="BC96" s="1375"/>
      <c r="BD96" s="553"/>
      <c r="BE96" s="1375"/>
      <c r="BF96" s="1375"/>
      <c r="BG96" s="1375"/>
      <c r="BH96" s="1375"/>
      <c r="BI96" s="1375"/>
      <c r="BJ96" s="1641"/>
      <c r="BK96" s="631"/>
      <c r="BL96" s="631"/>
      <c r="BM96" s="631"/>
      <c r="BN96" s="631"/>
      <c r="BO96" s="1650">
        <v>11</v>
      </c>
    </row>
    <row s="1650" customFormat="1" customHeight="1" ht="11.549999999999999">
      <c r="A97" s="996"/>
      <c r="B97" s="996"/>
      <c r="C97" s="996"/>
      <c r="D97" s="996"/>
      <c r="E97" s="996"/>
      <c r="F97" s="1645"/>
      <c r="G97" s="1645"/>
      <c r="H97" s="360"/>
      <c r="N97" s="1650"/>
      <c r="O97" s="1650"/>
      <c r="P97" s="1650"/>
      <c r="Q97" s="1650"/>
      <c r="R97" s="1650"/>
      <c r="S97" s="1650"/>
      <c r="T97" s="1650"/>
      <c r="U97" s="1650"/>
      <c r="V97" s="1650"/>
      <c r="W97" s="1650"/>
      <c r="X97" s="1650"/>
      <c r="Y97" s="1650"/>
      <c r="Z97" s="1650"/>
      <c r="AA97" s="1650"/>
      <c r="AB97" s="1650"/>
      <c r="AC97" s="1650"/>
      <c r="AD97" s="1650"/>
      <c r="AE97" s="1650"/>
      <c r="AF97" s="1650"/>
      <c r="AG97" s="1650"/>
      <c r="AH97" s="1650"/>
      <c r="AI97" s="1650"/>
      <c r="AJ97" s="1650"/>
      <c r="AK97" s="1650"/>
      <c r="AL97" s="1650"/>
      <c r="AM97" s="1650"/>
      <c r="AN97" s="1650"/>
      <c r="AO97" s="1650"/>
      <c r="AP97" s="1650"/>
      <c r="AQ97" s="1650"/>
      <c r="AR97" s="1375"/>
      <c r="AT97" s="1375"/>
      <c r="AU97" s="1645"/>
      <c r="AV97" s="1645"/>
      <c r="AW97" s="1375"/>
      <c r="AX97" s="1375"/>
      <c r="AY97" s="1375"/>
      <c r="AZ97" s="1375"/>
      <c r="BA97" s="1645"/>
      <c r="BB97" s="1375"/>
      <c r="BC97" s="1375"/>
      <c r="BD97" s="553"/>
      <c r="BE97" s="1375"/>
      <c r="BF97" s="1375"/>
      <c r="BG97" s="1375"/>
      <c r="BH97" s="1375"/>
      <c r="BI97" s="1375"/>
      <c r="BJ97" s="1641"/>
      <c r="BK97" s="631"/>
      <c r="BL97" s="631"/>
      <c r="BM97" s="631"/>
      <c r="BN97" s="631"/>
      <c r="BO97" s="1650">
        <v>11</v>
      </c>
    </row>
    <row s="1650" customFormat="1" customHeight="1" ht="11.549999999999999">
      <c r="A98" s="996"/>
      <c r="B98" s="996"/>
      <c r="C98" s="996"/>
      <c r="D98" s="996"/>
      <c r="E98" s="996"/>
      <c r="F98" s="1645"/>
      <c r="G98" s="1645"/>
      <c r="H98" s="360"/>
      <c r="N98" s="1650"/>
      <c r="O98" s="1650"/>
      <c r="P98" s="1650"/>
      <c r="Q98" s="1650"/>
      <c r="R98" s="1650"/>
      <c r="S98" s="1650"/>
      <c r="T98" s="1650"/>
      <c r="U98" s="1650"/>
      <c r="V98" s="1650"/>
      <c r="W98" s="1650"/>
      <c r="X98" s="1650"/>
      <c r="Y98" s="1650"/>
      <c r="Z98" s="1650"/>
      <c r="AA98" s="1650"/>
      <c r="AB98" s="1650"/>
      <c r="AC98" s="1650"/>
      <c r="AD98" s="1650"/>
      <c r="AE98" s="1650"/>
      <c r="AF98" s="1650"/>
      <c r="AG98" s="1650"/>
      <c r="AH98" s="1650"/>
      <c r="AI98" s="1650"/>
      <c r="AJ98" s="1650"/>
      <c r="AK98" s="1650"/>
      <c r="AL98" s="1650"/>
      <c r="AM98" s="1650"/>
      <c r="AN98" s="1650"/>
      <c r="AO98" s="1650"/>
      <c r="AP98" s="1650"/>
      <c r="AQ98" s="1650"/>
      <c r="AR98" s="1375"/>
      <c r="AT98" s="1375"/>
      <c r="AU98" s="1645"/>
      <c r="AV98" s="1645"/>
      <c r="AW98" s="1375"/>
      <c r="AX98" s="1375"/>
      <c r="AY98" s="1375"/>
      <c r="AZ98" s="1375"/>
      <c r="BA98" s="1645"/>
      <c r="BB98" s="1375"/>
      <c r="BC98" s="1375"/>
      <c r="BD98" s="553"/>
      <c r="BE98" s="1375"/>
      <c r="BF98" s="1375"/>
      <c r="BG98" s="1375"/>
      <c r="BH98" s="1375"/>
      <c r="BI98" s="1375"/>
      <c r="BJ98" s="1641"/>
      <c r="BK98" s="631"/>
      <c r="BL98" s="631"/>
      <c r="BM98" s="631"/>
      <c r="BN98" s="631"/>
      <c r="BO98" s="1650">
        <v>11</v>
      </c>
    </row>
    <row s="1650" customFormat="1" customHeight="1" ht="11.549999999999999">
      <c r="A99" s="996"/>
      <c r="B99" s="996"/>
      <c r="C99" s="996"/>
      <c r="D99" s="996"/>
      <c r="E99" s="996"/>
      <c r="F99" s="1645"/>
      <c r="G99" s="1645"/>
      <c r="H99" s="360"/>
      <c r="N99" s="1650"/>
      <c r="O99" s="1650"/>
      <c r="P99" s="1650"/>
      <c r="Q99" s="1650"/>
      <c r="R99" s="1650"/>
      <c r="S99" s="1650"/>
      <c r="T99" s="1650"/>
      <c r="U99" s="1650"/>
      <c r="V99" s="1650"/>
      <c r="W99" s="1650"/>
      <c r="X99" s="1650"/>
      <c r="Y99" s="1650"/>
      <c r="Z99" s="1650"/>
      <c r="AA99" s="1650"/>
      <c r="AB99" s="1650"/>
      <c r="AC99" s="1650"/>
      <c r="AD99" s="1650"/>
      <c r="AE99" s="1650"/>
      <c r="AF99" s="1650"/>
      <c r="AG99" s="1650"/>
      <c r="AH99" s="1650"/>
      <c r="AI99" s="1650"/>
      <c r="AJ99" s="1650"/>
      <c r="AK99" s="1650"/>
      <c r="AL99" s="1650"/>
      <c r="AM99" s="1650"/>
      <c r="AN99" s="1650"/>
      <c r="AO99" s="1650"/>
      <c r="AP99" s="1650"/>
      <c r="AQ99" s="1650"/>
      <c r="AR99" s="1375"/>
      <c r="AT99" s="1375"/>
      <c r="AU99" s="1645"/>
      <c r="AV99" s="1645"/>
      <c r="AW99" s="1375"/>
      <c r="AX99" s="1375"/>
      <c r="AY99" s="1375"/>
      <c r="AZ99" s="1375"/>
      <c r="BA99" s="1645"/>
      <c r="BB99" s="1375"/>
      <c r="BC99" s="1375"/>
      <c r="BD99" s="553"/>
      <c r="BE99" s="1375"/>
      <c r="BF99" s="1375"/>
      <c r="BG99" s="1375"/>
      <c r="BH99" s="1375"/>
      <c r="BI99" s="1375"/>
      <c r="BJ99" s="1641"/>
      <c r="BK99" s="631"/>
      <c r="BL99" s="631"/>
      <c r="BM99" s="631"/>
      <c r="BN99" s="631"/>
      <c r="BO99" s="1650">
        <v>11</v>
      </c>
    </row>
    <row s="1650" customFormat="1" customHeight="1" ht="11.549999999999999">
      <c r="A100" s="996"/>
      <c r="B100" s="996"/>
      <c r="C100" s="996"/>
      <c r="D100" s="996"/>
      <c r="E100" s="996"/>
      <c r="F100" s="1645"/>
      <c r="G100" s="1645"/>
      <c r="H100" s="360"/>
      <c r="N100" s="1650"/>
      <c r="O100" s="1650"/>
      <c r="P100" s="1650"/>
      <c r="Q100" s="1650"/>
      <c r="R100" s="1650"/>
      <c r="S100" s="1650"/>
      <c r="T100" s="1650"/>
      <c r="U100" s="1650"/>
      <c r="V100" s="1650"/>
      <c r="W100" s="1650"/>
      <c r="X100" s="1650"/>
      <c r="Y100" s="1650"/>
      <c r="Z100" s="1650"/>
      <c r="AA100" s="1650"/>
      <c r="AB100" s="1650"/>
      <c r="AC100" s="1650"/>
      <c r="AD100" s="1650"/>
      <c r="AE100" s="1650"/>
      <c r="AF100" s="1650"/>
      <c r="AG100" s="1650"/>
      <c r="AH100" s="1650"/>
      <c r="AI100" s="1650"/>
      <c r="AJ100" s="1650"/>
      <c r="AK100" s="1650"/>
      <c r="AL100" s="1650"/>
      <c r="AM100" s="1650"/>
      <c r="AN100" s="1650"/>
      <c r="AO100" s="1650"/>
      <c r="AP100" s="1650"/>
      <c r="AQ100" s="1650"/>
      <c r="AR100" s="1375"/>
      <c r="AT100" s="1375"/>
      <c r="AU100" s="1645"/>
      <c r="AV100" s="1645"/>
      <c r="AW100" s="1375"/>
      <c r="AX100" s="1375"/>
      <c r="AY100" s="1375"/>
      <c r="AZ100" s="1375"/>
      <c r="BA100" s="1645"/>
      <c r="BB100" s="1375"/>
      <c r="BC100" s="1375"/>
      <c r="BD100" s="553"/>
      <c r="BE100" s="1375"/>
      <c r="BF100" s="1375"/>
      <c r="BG100" s="1375"/>
      <c r="BH100" s="1375"/>
      <c r="BI100" s="1375"/>
      <c r="BJ100" s="1641"/>
      <c r="BK100" s="631"/>
      <c r="BL100" s="631"/>
      <c r="BM100" s="631"/>
      <c r="BN100" s="631"/>
      <c r="BO100" s="1650">
        <v>11</v>
      </c>
    </row>
    <row s="1650" customFormat="1" customHeight="1" ht="11.549999999999999">
      <c r="A101" s="996"/>
      <c r="B101" s="996"/>
      <c r="C101" s="996"/>
      <c r="D101" s="996"/>
      <c r="E101" s="996"/>
      <c r="F101" s="1645"/>
      <c r="G101" s="1645"/>
      <c r="H101" s="360"/>
      <c r="N101" s="1650"/>
      <c r="O101" s="1650"/>
      <c r="P101" s="1650"/>
      <c r="Q101" s="1650"/>
      <c r="R101" s="1650"/>
      <c r="S101" s="1650"/>
      <c r="T101" s="1650"/>
      <c r="U101" s="1650"/>
      <c r="V101" s="1650"/>
      <c r="W101" s="1650"/>
      <c r="X101" s="1650"/>
      <c r="Y101" s="1650"/>
      <c r="Z101" s="1650"/>
      <c r="AA101" s="1650"/>
      <c r="AB101" s="1650"/>
      <c r="AC101" s="1650"/>
      <c r="AD101" s="1650"/>
      <c r="AE101" s="1650"/>
      <c r="AF101" s="1650"/>
      <c r="AG101" s="1650"/>
      <c r="AH101" s="1650"/>
      <c r="AI101" s="1650"/>
      <c r="AJ101" s="1650"/>
      <c r="AK101" s="1650"/>
      <c r="AL101" s="1650"/>
      <c r="AM101" s="1650"/>
      <c r="AN101" s="1650"/>
      <c r="AO101" s="1650"/>
      <c r="AP101" s="1650"/>
      <c r="AQ101" s="1650"/>
      <c r="AR101" s="1375"/>
      <c r="AT101" s="1375"/>
      <c r="AU101" s="1645"/>
      <c r="AV101" s="1645"/>
      <c r="AW101" s="1375"/>
      <c r="AX101" s="1375"/>
      <c r="AY101" s="1375"/>
      <c r="AZ101" s="1375"/>
      <c r="BA101" s="1645"/>
      <c r="BB101" s="1375"/>
      <c r="BC101" s="1375"/>
      <c r="BD101" s="553"/>
      <c r="BE101" s="1375"/>
      <c r="BF101" s="1375"/>
      <c r="BG101" s="1375"/>
      <c r="BH101" s="1375"/>
      <c r="BI101" s="1375"/>
      <c r="BJ101" s="1641"/>
      <c r="BK101" s="631"/>
      <c r="BL101" s="631"/>
      <c r="BM101" s="631"/>
      <c r="BN101" s="631"/>
      <c r="BO101" s="1650">
        <v>11</v>
      </c>
    </row>
    <row s="1650" customFormat="1" customHeight="1" ht="11.549999999999999">
      <c r="A102" s="996"/>
      <c r="B102" s="996"/>
      <c r="C102" s="996"/>
      <c r="D102" s="996"/>
      <c r="E102" s="996"/>
      <c r="F102" s="1645"/>
      <c r="G102" s="1645"/>
      <c r="H102" s="360"/>
      <c r="N102" s="1650"/>
      <c r="O102" s="1650"/>
      <c r="P102" s="1650"/>
      <c r="Q102" s="1650"/>
      <c r="R102" s="1650"/>
      <c r="S102" s="1650"/>
      <c r="T102" s="1650"/>
      <c r="U102" s="1650"/>
      <c r="V102" s="1650"/>
      <c r="W102" s="1650"/>
      <c r="X102" s="1650"/>
      <c r="Y102" s="1650"/>
      <c r="Z102" s="1650"/>
      <c r="AA102" s="1650"/>
      <c r="AB102" s="1650"/>
      <c r="AC102" s="1650"/>
      <c r="AD102" s="1650"/>
      <c r="AE102" s="1650"/>
      <c r="AF102" s="1650"/>
      <c r="AG102" s="1650"/>
      <c r="AH102" s="1650"/>
      <c r="AI102" s="1650"/>
      <c r="AJ102" s="1650"/>
      <c r="AK102" s="1650"/>
      <c r="AL102" s="1650"/>
      <c r="AM102" s="1650"/>
      <c r="AN102" s="1650"/>
      <c r="AO102" s="1650"/>
      <c r="AP102" s="1650"/>
      <c r="AQ102" s="1650"/>
      <c r="AR102" s="1375"/>
      <c r="AT102" s="1375"/>
      <c r="AU102" s="1645"/>
      <c r="AV102" s="1645"/>
      <c r="AW102" s="1375"/>
      <c r="AX102" s="1375"/>
      <c r="AY102" s="1375"/>
      <c r="AZ102" s="1375"/>
      <c r="BA102" s="1645"/>
      <c r="BB102" s="1375"/>
      <c r="BC102" s="1375"/>
      <c r="BD102" s="553"/>
      <c r="BE102" s="1375"/>
      <c r="BF102" s="1375"/>
      <c r="BG102" s="1375"/>
      <c r="BH102" s="1375"/>
      <c r="BI102" s="1375"/>
      <c r="BJ102" s="1641"/>
      <c r="BK102" s="631"/>
      <c r="BL102" s="631"/>
      <c r="BM102" s="631"/>
      <c r="BN102" s="631"/>
      <c r="BO102" s="1650">
        <v>11</v>
      </c>
    </row>
    <row s="1650" customFormat="1" customHeight="1" ht="11.549999999999999">
      <c r="A103" s="996"/>
      <c r="B103" s="996"/>
      <c r="C103" s="996"/>
      <c r="D103" s="996"/>
      <c r="E103" s="996"/>
      <c r="F103" s="1645"/>
      <c r="G103" s="1645"/>
      <c r="H103" s="360"/>
      <c r="N103" s="1650"/>
      <c r="O103" s="1650"/>
      <c r="P103" s="1650"/>
      <c r="Q103" s="1650"/>
      <c r="R103" s="1650"/>
      <c r="S103" s="1650"/>
      <c r="T103" s="1650"/>
      <c r="U103" s="1650"/>
      <c r="V103" s="1650"/>
      <c r="W103" s="1650"/>
      <c r="X103" s="1650"/>
      <c r="Y103" s="1650"/>
      <c r="Z103" s="1650"/>
      <c r="AA103" s="1650"/>
      <c r="AB103" s="1650"/>
      <c r="AC103" s="1650"/>
      <c r="AD103" s="1650"/>
      <c r="AE103" s="1650"/>
      <c r="AF103" s="1650"/>
      <c r="AG103" s="1650"/>
      <c r="AH103" s="1650"/>
      <c r="AI103" s="1650"/>
      <c r="AJ103" s="1650"/>
      <c r="AK103" s="1650"/>
      <c r="AL103" s="1650"/>
      <c r="AM103" s="1650"/>
      <c r="AN103" s="1650"/>
      <c r="AO103" s="1650"/>
      <c r="AP103" s="1650"/>
      <c r="AQ103" s="1650"/>
      <c r="AR103" s="1375"/>
      <c r="AT103" s="1375"/>
      <c r="AU103" s="1645"/>
      <c r="AV103" s="1645"/>
      <c r="AW103" s="1375"/>
      <c r="AX103" s="1375"/>
      <c r="AY103" s="1375"/>
      <c r="AZ103" s="1375"/>
      <c r="BA103" s="1645"/>
      <c r="BB103" s="1375"/>
      <c r="BC103" s="1375"/>
      <c r="BD103" s="553"/>
      <c r="BE103" s="1375"/>
      <c r="BF103" s="1375"/>
      <c r="BG103" s="1375"/>
      <c r="BH103" s="1375"/>
      <c r="BI103" s="1375"/>
      <c r="BJ103" s="1641"/>
      <c r="BK103" s="631"/>
      <c r="BL103" s="631"/>
      <c r="BM103" s="631"/>
      <c r="BN103" s="631"/>
      <c r="BO103" s="1650">
        <v>11</v>
      </c>
    </row>
    <row s="1650" customFormat="1" customHeight="1" ht="11.549999999999999">
      <c r="A104" s="996"/>
      <c r="B104" s="996"/>
      <c r="C104" s="996"/>
      <c r="D104" s="996"/>
      <c r="E104" s="996"/>
      <c r="F104" s="1645"/>
      <c r="G104" s="1645"/>
      <c r="H104" s="360"/>
      <c r="N104" s="1650"/>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0"/>
      <c r="AJ104" s="1650"/>
      <c r="AK104" s="1650"/>
      <c r="AL104" s="1650"/>
      <c r="AM104" s="1650"/>
      <c r="AN104" s="1650"/>
      <c r="AO104" s="1650"/>
      <c r="AP104" s="1650"/>
      <c r="AQ104" s="1650"/>
      <c r="AR104" s="1375"/>
      <c r="AT104" s="1375"/>
      <c r="AU104" s="1645"/>
      <c r="AV104" s="1645"/>
      <c r="AW104" s="1375"/>
      <c r="AX104" s="1375"/>
      <c r="AY104" s="1375"/>
      <c r="AZ104" s="1375"/>
      <c r="BA104" s="1645"/>
      <c r="BB104" s="1375"/>
      <c r="BC104" s="1375"/>
      <c r="BD104" s="553"/>
      <c r="BE104" s="1375"/>
      <c r="BF104" s="1375"/>
      <c r="BG104" s="1375"/>
      <c r="BH104" s="1375"/>
      <c r="BI104" s="1375"/>
      <c r="BJ104" s="1641"/>
      <c r="BK104" s="631"/>
      <c r="BL104" s="631"/>
      <c r="BM104" s="631"/>
      <c r="BN104" s="631"/>
      <c r="BO104" s="1650">
        <v>11</v>
      </c>
    </row>
    <row s="1650" customFormat="1" customHeight="1" ht="11.549999999999999">
      <c r="A105" s="996"/>
      <c r="B105" s="996"/>
      <c r="C105" s="996"/>
      <c r="D105" s="996"/>
      <c r="E105" s="996"/>
      <c r="F105" s="1645"/>
      <c r="G105" s="1645"/>
      <c r="H105" s="360"/>
      <c r="N105" s="1650"/>
      <c r="O105" s="1650"/>
      <c r="P105" s="1650"/>
      <c r="Q105" s="1650"/>
      <c r="R105" s="1650"/>
      <c r="S105" s="1650"/>
      <c r="T105" s="1650"/>
      <c r="U105" s="1650"/>
      <c r="V105" s="1650"/>
      <c r="W105" s="1650"/>
      <c r="X105" s="1650"/>
      <c r="Y105" s="1650"/>
      <c r="Z105" s="1650"/>
      <c r="AA105" s="1650"/>
      <c r="AB105" s="1650"/>
      <c r="AC105" s="1650"/>
      <c r="AD105" s="1650"/>
      <c r="AE105" s="1650"/>
      <c r="AF105" s="1650"/>
      <c r="AG105" s="1650"/>
      <c r="AH105" s="1650"/>
      <c r="AI105" s="1650"/>
      <c r="AJ105" s="1650"/>
      <c r="AK105" s="1650"/>
      <c r="AL105" s="1650"/>
      <c r="AM105" s="1650"/>
      <c r="AN105" s="1650"/>
      <c r="AO105" s="1650"/>
      <c r="AP105" s="1650"/>
      <c r="AQ105" s="1650"/>
      <c r="AR105" s="1375"/>
      <c r="AT105" s="1375"/>
      <c r="AU105" s="1645"/>
      <c r="AV105" s="1645"/>
      <c r="AW105" s="1375"/>
      <c r="AX105" s="1375"/>
      <c r="AY105" s="1375"/>
      <c r="AZ105" s="1375"/>
      <c r="BA105" s="1645"/>
      <c r="BB105" s="1375"/>
      <c r="BC105" s="1375"/>
      <c r="BD105" s="553"/>
      <c r="BE105" s="1375"/>
      <c r="BF105" s="1375"/>
      <c r="BG105" s="1375"/>
      <c r="BH105" s="1375"/>
      <c r="BI105" s="1375"/>
      <c r="BJ105" s="1641"/>
      <c r="BK105" s="631"/>
      <c r="BL105" s="631"/>
      <c r="BM105" s="631"/>
      <c r="BN105" s="631"/>
      <c r="BO105" s="1650">
        <v>11</v>
      </c>
    </row>
    <row s="1650" customFormat="1" customHeight="1" ht="11.549999999999999">
      <c r="A106" s="996"/>
      <c r="B106" s="996"/>
      <c r="C106" s="996"/>
      <c r="D106" s="996"/>
      <c r="E106" s="996"/>
      <c r="F106" s="1645"/>
      <c r="G106" s="1645"/>
      <c r="H106" s="360"/>
      <c r="N106" s="1650"/>
      <c r="O106" s="1650"/>
      <c r="P106" s="1650"/>
      <c r="Q106" s="1650"/>
      <c r="R106" s="1650"/>
      <c r="S106" s="1650"/>
      <c r="T106" s="1650"/>
      <c r="U106" s="1650"/>
      <c r="V106" s="1650"/>
      <c r="W106" s="1650"/>
      <c r="X106" s="1650"/>
      <c r="Y106" s="1650"/>
      <c r="Z106" s="1650"/>
      <c r="AA106" s="1650"/>
      <c r="AB106" s="1650"/>
      <c r="AC106" s="1650"/>
      <c r="AD106" s="1650"/>
      <c r="AE106" s="1650"/>
      <c r="AF106" s="1650"/>
      <c r="AG106" s="1650"/>
      <c r="AH106" s="1650"/>
      <c r="AI106" s="1650"/>
      <c r="AJ106" s="1650"/>
      <c r="AK106" s="1650"/>
      <c r="AL106" s="1650"/>
      <c r="AM106" s="1650"/>
      <c r="AN106" s="1650"/>
      <c r="AO106" s="1650"/>
      <c r="AP106" s="1650"/>
      <c r="AQ106" s="1650"/>
      <c r="AR106" s="1375"/>
      <c r="AT106" s="1375"/>
      <c r="AU106" s="1645"/>
      <c r="AV106" s="1645"/>
      <c r="AW106" s="1375"/>
      <c r="AX106" s="1375"/>
      <c r="AY106" s="1375"/>
      <c r="AZ106" s="1375"/>
      <c r="BA106" s="1645"/>
      <c r="BB106" s="1375"/>
      <c r="BC106" s="1375"/>
      <c r="BD106" s="553"/>
      <c r="BE106" s="1375"/>
      <c r="BF106" s="1375"/>
      <c r="BG106" s="1375"/>
      <c r="BH106" s="1375"/>
      <c r="BI106" s="1375"/>
      <c r="BJ106" s="1641"/>
      <c r="BK106" s="631"/>
      <c r="BL106" s="631"/>
      <c r="BM106" s="631"/>
      <c r="BN106" s="631"/>
      <c r="BO106" s="1650">
        <v>11</v>
      </c>
    </row>
    <row s="1650" customFormat="1" customHeight="1" ht="11.549999999999999">
      <c r="A107" s="996"/>
      <c r="B107" s="996"/>
      <c r="C107" s="996"/>
      <c r="D107" s="996"/>
      <c r="E107" s="996"/>
      <c r="F107" s="1645"/>
      <c r="G107" s="1645"/>
      <c r="H107" s="360"/>
      <c r="N107" s="1650"/>
      <c r="O107" s="1650"/>
      <c r="P107" s="1650"/>
      <c r="Q107" s="1650"/>
      <c r="R107" s="1650"/>
      <c r="S107" s="1650"/>
      <c r="T107" s="1650"/>
      <c r="U107" s="1650"/>
      <c r="V107" s="1650"/>
      <c r="W107" s="1650"/>
      <c r="X107" s="1650"/>
      <c r="Y107" s="1650"/>
      <c r="Z107" s="1650"/>
      <c r="AA107" s="1650"/>
      <c r="AB107" s="1650"/>
      <c r="AC107" s="1650"/>
      <c r="AD107" s="1650"/>
      <c r="AE107" s="1650"/>
      <c r="AF107" s="1650"/>
      <c r="AG107" s="1650"/>
      <c r="AH107" s="1650"/>
      <c r="AI107" s="1650"/>
      <c r="AJ107" s="1650"/>
      <c r="AK107" s="1650"/>
      <c r="AL107" s="1650"/>
      <c r="AM107" s="1650"/>
      <c r="AN107" s="1650"/>
      <c r="AO107" s="1650"/>
      <c r="AP107" s="1650"/>
      <c r="AQ107" s="1650"/>
      <c r="AR107" s="1375"/>
      <c r="AT107" s="1375"/>
      <c r="AU107" s="1645"/>
      <c r="AV107" s="1645"/>
      <c r="AW107" s="1375"/>
      <c r="AX107" s="1375"/>
      <c r="AY107" s="1375"/>
      <c r="AZ107" s="1375"/>
      <c r="BA107" s="1645"/>
      <c r="BB107" s="1375"/>
      <c r="BC107" s="1375"/>
      <c r="BD107" s="553"/>
      <c r="BE107" s="1375"/>
      <c r="BF107" s="1375"/>
      <c r="BG107" s="1375"/>
      <c r="BH107" s="1375"/>
      <c r="BI107" s="1375"/>
      <c r="BJ107" s="1641"/>
      <c r="BK107" s="631"/>
      <c r="BL107" s="631"/>
      <c r="BM107" s="631"/>
      <c r="BN107" s="631"/>
      <c r="BO107" s="1650">
        <v>11</v>
      </c>
    </row>
    <row s="1650" customFormat="1" customHeight="1" ht="11.549999999999999">
      <c r="A108" s="996"/>
      <c r="B108" s="996"/>
      <c r="C108" s="996"/>
      <c r="D108" s="996"/>
      <c r="E108" s="996"/>
      <c r="F108" s="1645"/>
      <c r="G108" s="1645"/>
      <c r="H108" s="360"/>
      <c r="N108" s="1650"/>
      <c r="O108" s="1650"/>
      <c r="P108" s="1650"/>
      <c r="Q108" s="1650"/>
      <c r="R108" s="1650"/>
      <c r="S108" s="1650"/>
      <c r="T108" s="1650"/>
      <c r="U108" s="1650"/>
      <c r="V108" s="1650"/>
      <c r="W108" s="1650"/>
      <c r="X108" s="1650"/>
      <c r="Y108" s="1650"/>
      <c r="Z108" s="1650"/>
      <c r="AA108" s="1650"/>
      <c r="AB108" s="1650"/>
      <c r="AC108" s="1650"/>
      <c r="AD108" s="1650"/>
      <c r="AE108" s="1650"/>
      <c r="AF108" s="1650"/>
      <c r="AG108" s="1650"/>
      <c r="AH108" s="1650"/>
      <c r="AI108" s="1650"/>
      <c r="AJ108" s="1650"/>
      <c r="AK108" s="1650"/>
      <c r="AL108" s="1650"/>
      <c r="AM108" s="1650"/>
      <c r="AN108" s="1650"/>
      <c r="AO108" s="1650"/>
      <c r="AP108" s="1650"/>
      <c r="AQ108" s="1650"/>
      <c r="AR108" s="1375"/>
      <c r="AT108" s="1375"/>
      <c r="AU108" s="1645"/>
      <c r="AV108" s="1645"/>
      <c r="AW108" s="1375"/>
      <c r="AX108" s="1375"/>
      <c r="AY108" s="1375"/>
      <c r="AZ108" s="1375"/>
      <c r="BA108" s="1645"/>
      <c r="BB108" s="1375"/>
      <c r="BC108" s="1375"/>
      <c r="BD108" s="553"/>
      <c r="BE108" s="1375"/>
      <c r="BF108" s="1375"/>
      <c r="BG108" s="1375"/>
      <c r="BH108" s="1375"/>
      <c r="BI108" s="1375"/>
      <c r="BJ108" s="1641"/>
      <c r="BK108" s="631"/>
      <c r="BL108" s="631"/>
      <c r="BM108" s="631"/>
      <c r="BN108" s="631"/>
      <c r="BO108" s="1650">
        <v>11</v>
      </c>
    </row>
    <row s="1650" customFormat="1" customHeight="1" ht="11.549999999999999">
      <c r="A109" s="996"/>
      <c r="B109" s="996"/>
      <c r="C109" s="996"/>
      <c r="D109" s="996"/>
      <c r="E109" s="996"/>
      <c r="F109" s="1645"/>
      <c r="G109" s="1645"/>
      <c r="H109" s="360"/>
      <c r="N109" s="1650"/>
      <c r="O109" s="1650"/>
      <c r="P109" s="1650"/>
      <c r="Q109" s="1650"/>
      <c r="R109" s="1650"/>
      <c r="S109" s="1650"/>
      <c r="T109" s="1650"/>
      <c r="U109" s="1650"/>
      <c r="V109" s="1650"/>
      <c r="W109" s="1650"/>
      <c r="X109" s="1650"/>
      <c r="Y109" s="1650"/>
      <c r="Z109" s="1650"/>
      <c r="AA109" s="1650"/>
      <c r="AB109" s="1650"/>
      <c r="AC109" s="1650"/>
      <c r="AD109" s="1650"/>
      <c r="AE109" s="1650"/>
      <c r="AF109" s="1650"/>
      <c r="AG109" s="1650"/>
      <c r="AH109" s="1650"/>
      <c r="AI109" s="1650"/>
      <c r="AJ109" s="1650"/>
      <c r="AK109" s="1650"/>
      <c r="AL109" s="1650"/>
      <c r="AM109" s="1650"/>
      <c r="AN109" s="1650"/>
      <c r="AO109" s="1650"/>
      <c r="AP109" s="1650"/>
      <c r="AQ109" s="1650"/>
      <c r="AR109" s="1375"/>
      <c r="AT109" s="1375"/>
      <c r="AU109" s="1645"/>
      <c r="AV109" s="1645"/>
      <c r="AW109" s="1375"/>
      <c r="AX109" s="1375"/>
      <c r="AY109" s="1375"/>
      <c r="AZ109" s="1375"/>
      <c r="BA109" s="1645"/>
      <c r="BB109" s="1375"/>
      <c r="BC109" s="1375"/>
      <c r="BD109" s="553"/>
      <c r="BE109" s="1375"/>
      <c r="BF109" s="1375"/>
      <c r="BG109" s="1375"/>
      <c r="BH109" s="1375"/>
      <c r="BI109" s="1375"/>
      <c r="BJ109" s="1641"/>
      <c r="BK109" s="631"/>
      <c r="BL109" s="631"/>
      <c r="BM109" s="631"/>
      <c r="BN109" s="631"/>
      <c r="BO109" s="1650">
        <v>11</v>
      </c>
    </row>
    <row s="1650" customFormat="1" customHeight="1" ht="11.549999999999999">
      <c r="A110" s="996"/>
      <c r="B110" s="996"/>
      <c r="C110" s="996"/>
      <c r="D110" s="996"/>
      <c r="E110" s="996"/>
      <c r="F110" s="1645"/>
      <c r="G110" s="1645"/>
      <c r="H110" s="360"/>
      <c r="N110" s="1650"/>
      <c r="O110" s="1650"/>
      <c r="P110" s="1650"/>
      <c r="Q110" s="1650"/>
      <c r="R110" s="1650"/>
      <c r="S110" s="1650"/>
      <c r="T110" s="1650"/>
      <c r="U110" s="1650"/>
      <c r="V110" s="1650"/>
      <c r="W110" s="1650"/>
      <c r="X110" s="1650"/>
      <c r="Y110" s="1650"/>
      <c r="Z110" s="1650"/>
      <c r="AA110" s="1650"/>
      <c r="AB110" s="1650"/>
      <c r="AC110" s="1650"/>
      <c r="AD110" s="1650"/>
      <c r="AE110" s="1650"/>
      <c r="AF110" s="1650"/>
      <c r="AG110" s="1650"/>
      <c r="AH110" s="1650"/>
      <c r="AI110" s="1650"/>
      <c r="AJ110" s="1650"/>
      <c r="AK110" s="1650"/>
      <c r="AL110" s="1650"/>
      <c r="AM110" s="1650"/>
      <c r="AN110" s="1650"/>
      <c r="AO110" s="1650"/>
      <c r="AP110" s="1650"/>
      <c r="AQ110" s="1650"/>
      <c r="AR110" s="1375"/>
      <c r="AT110" s="1375"/>
      <c r="AU110" s="1645"/>
      <c r="AV110" s="1645"/>
      <c r="AW110" s="1375"/>
      <c r="AX110" s="1375"/>
      <c r="AY110" s="1375"/>
      <c r="AZ110" s="1375"/>
      <c r="BA110" s="1645"/>
      <c r="BB110" s="1375"/>
      <c r="BC110" s="1375"/>
      <c r="BD110" s="553"/>
      <c r="BE110" s="1375"/>
      <c r="BF110" s="1375"/>
      <c r="BG110" s="1375"/>
      <c r="BH110" s="1375"/>
      <c r="BI110" s="1375"/>
      <c r="BJ110" s="1641"/>
      <c r="BK110" s="631"/>
      <c r="BL110" s="631"/>
      <c r="BM110" s="631"/>
      <c r="BN110" s="631"/>
      <c r="BO110" s="1650">
        <v>11</v>
      </c>
    </row>
    <row s="1650" customFormat="1" customHeight="1" ht="11.549999999999999">
      <c r="A111" s="996"/>
      <c r="B111" s="996"/>
      <c r="C111" s="996"/>
      <c r="D111" s="996"/>
      <c r="E111" s="996"/>
      <c r="F111" s="1645"/>
      <c r="G111" s="1645"/>
      <c r="H111" s="360"/>
      <c r="N111" s="1650"/>
      <c r="O111" s="1650"/>
      <c r="P111" s="1650"/>
      <c r="Q111" s="1650"/>
      <c r="R111" s="1650"/>
      <c r="S111" s="1650"/>
      <c r="T111" s="1650"/>
      <c r="U111" s="1650"/>
      <c r="V111" s="1650"/>
      <c r="W111" s="1650"/>
      <c r="X111" s="1650"/>
      <c r="Y111" s="1650"/>
      <c r="Z111" s="1650"/>
      <c r="AA111" s="1650"/>
      <c r="AB111" s="1650"/>
      <c r="AC111" s="1650"/>
      <c r="AD111" s="1650"/>
      <c r="AE111" s="1650"/>
      <c r="AF111" s="1650"/>
      <c r="AG111" s="1650"/>
      <c r="AH111" s="1650"/>
      <c r="AI111" s="1650"/>
      <c r="AJ111" s="1650"/>
      <c r="AK111" s="1650"/>
      <c r="AL111" s="1650"/>
      <c r="AM111" s="1650"/>
      <c r="AN111" s="1650"/>
      <c r="AO111" s="1650"/>
      <c r="AP111" s="1650"/>
      <c r="AQ111" s="1650"/>
      <c r="AR111" s="1375"/>
      <c r="AT111" s="1375"/>
      <c r="AU111" s="1645"/>
      <c r="AV111" s="1645"/>
      <c r="AW111" s="1375"/>
      <c r="AX111" s="1375"/>
      <c r="AY111" s="1375"/>
      <c r="AZ111" s="1375"/>
      <c r="BA111" s="1645"/>
      <c r="BB111" s="1375"/>
      <c r="BC111" s="1375"/>
      <c r="BD111" s="553"/>
      <c r="BE111" s="1375"/>
      <c r="BF111" s="1375"/>
      <c r="BG111" s="1375"/>
      <c r="BH111" s="1375"/>
      <c r="BI111" s="1375"/>
      <c r="BJ111" s="1641"/>
      <c r="BK111" s="631"/>
      <c r="BL111" s="631"/>
      <c r="BM111" s="631"/>
      <c r="BN111" s="631"/>
      <c r="BO111" s="1650">
        <v>11</v>
      </c>
    </row>
    <row s="1650" customFormat="1" customHeight="1" ht="11.549999999999999">
      <c r="A112" s="996"/>
      <c r="B112" s="996"/>
      <c r="C112" s="996"/>
      <c r="D112" s="996"/>
      <c r="E112" s="996"/>
      <c r="F112" s="1645"/>
      <c r="G112" s="1645"/>
      <c r="H112" s="360"/>
      <c r="N112" s="1650"/>
      <c r="O112" s="1650"/>
      <c r="P112" s="1650"/>
      <c r="Q112" s="1650"/>
      <c r="R112" s="1650"/>
      <c r="S112" s="1650"/>
      <c r="T112" s="1650"/>
      <c r="U112" s="1650"/>
      <c r="V112" s="1650"/>
      <c r="W112" s="1650"/>
      <c r="X112" s="1650"/>
      <c r="Y112" s="1650"/>
      <c r="Z112" s="1650"/>
      <c r="AA112" s="1650"/>
      <c r="AB112" s="1650"/>
      <c r="AC112" s="1650"/>
      <c r="AD112" s="1650"/>
      <c r="AE112" s="1650"/>
      <c r="AF112" s="1650"/>
      <c r="AG112" s="1650"/>
      <c r="AH112" s="1650"/>
      <c r="AI112" s="1650"/>
      <c r="AJ112" s="1650"/>
      <c r="AK112" s="1650"/>
      <c r="AL112" s="1650"/>
      <c r="AM112" s="1650"/>
      <c r="AN112" s="1650"/>
      <c r="AO112" s="1650"/>
      <c r="AP112" s="1650"/>
      <c r="AQ112" s="1650"/>
      <c r="AR112" s="1375"/>
      <c r="AT112" s="1375"/>
      <c r="AU112" s="1645"/>
      <c r="AV112" s="1645"/>
      <c r="AW112" s="1375"/>
      <c r="AX112" s="1375"/>
      <c r="AY112" s="1375"/>
      <c r="AZ112" s="1375"/>
      <c r="BA112" s="1645"/>
      <c r="BB112" s="1375"/>
      <c r="BC112" s="1375"/>
      <c r="BD112" s="553"/>
      <c r="BE112" s="1375"/>
      <c r="BF112" s="1375"/>
      <c r="BG112" s="1375"/>
      <c r="BH112" s="1375"/>
      <c r="BI112" s="1375"/>
      <c r="BJ112" s="1641"/>
      <c r="BK112" s="631"/>
      <c r="BL112" s="631"/>
      <c r="BM112" s="631"/>
      <c r="BN112" s="631"/>
      <c r="BO112" s="1650">
        <v>11</v>
      </c>
    </row>
    <row s="1650" customFormat="1" customHeight="1" ht="11.549999999999999">
      <c r="A113" s="996"/>
      <c r="B113" s="996"/>
      <c r="C113" s="996"/>
      <c r="D113" s="996"/>
      <c r="E113" s="996"/>
      <c r="F113" s="1645"/>
      <c r="G113" s="1645"/>
      <c r="H113" s="360"/>
      <c r="N113" s="1650"/>
      <c r="O113" s="1650"/>
      <c r="P113" s="1650"/>
      <c r="Q113" s="1650"/>
      <c r="R113" s="1650"/>
      <c r="S113" s="1650"/>
      <c r="T113" s="1650"/>
      <c r="U113" s="1650"/>
      <c r="V113" s="1650"/>
      <c r="W113" s="1650"/>
      <c r="X113" s="1650"/>
      <c r="Y113" s="1650"/>
      <c r="Z113" s="1650"/>
      <c r="AA113" s="1650"/>
      <c r="AB113" s="1650"/>
      <c r="AC113" s="1650"/>
      <c r="AD113" s="1650"/>
      <c r="AE113" s="1650"/>
      <c r="AF113" s="1650"/>
      <c r="AG113" s="1650"/>
      <c r="AH113" s="1650"/>
      <c r="AI113" s="1650"/>
      <c r="AJ113" s="1650"/>
      <c r="AK113" s="1650"/>
      <c r="AL113" s="1650"/>
      <c r="AM113" s="1650"/>
      <c r="AN113" s="1650"/>
      <c r="AO113" s="1650"/>
      <c r="AP113" s="1650"/>
      <c r="AQ113" s="1650"/>
      <c r="AR113" s="1375"/>
      <c r="AT113" s="1375"/>
      <c r="AU113" s="1645"/>
      <c r="AV113" s="1645"/>
      <c r="AW113" s="1375"/>
      <c r="AX113" s="1375"/>
      <c r="AY113" s="1375"/>
      <c r="AZ113" s="1375"/>
      <c r="BA113" s="1645"/>
      <c r="BB113" s="1375"/>
      <c r="BC113" s="1375"/>
      <c r="BD113" s="553"/>
      <c r="BE113" s="1375"/>
      <c r="BF113" s="1375"/>
      <c r="BG113" s="1375"/>
      <c r="BH113" s="1375"/>
      <c r="BI113" s="1375"/>
      <c r="BJ113" s="1641"/>
      <c r="BK113" s="631"/>
      <c r="BL113" s="631"/>
      <c r="BM113" s="631"/>
      <c r="BN113" s="631"/>
      <c r="BO113" s="1650">
        <v>11</v>
      </c>
    </row>
    <row s="1650" customFormat="1" customHeight="1" ht="11.549999999999999">
      <c r="A114" s="996"/>
      <c r="B114" s="996"/>
      <c r="C114" s="996"/>
      <c r="D114" s="996"/>
      <c r="E114" s="996"/>
      <c r="F114" s="1645"/>
      <c r="G114" s="1645"/>
      <c r="H114" s="360"/>
      <c r="N114" s="1650"/>
      <c r="O114" s="1650"/>
      <c r="P114" s="1650"/>
      <c r="Q114" s="1650"/>
      <c r="R114" s="1650"/>
      <c r="S114" s="1650"/>
      <c r="T114" s="1650"/>
      <c r="U114" s="1650"/>
      <c r="V114" s="1650"/>
      <c r="W114" s="1650"/>
      <c r="X114" s="1650"/>
      <c r="Y114" s="1650"/>
      <c r="Z114" s="1650"/>
      <c r="AA114" s="1650"/>
      <c r="AB114" s="1650"/>
      <c r="AC114" s="1650"/>
      <c r="AD114" s="1650"/>
      <c r="AE114" s="1650"/>
      <c r="AF114" s="1650"/>
      <c r="AG114" s="1650"/>
      <c r="AH114" s="1650"/>
      <c r="AI114" s="1650"/>
      <c r="AJ114" s="1650"/>
      <c r="AK114" s="1650"/>
      <c r="AL114" s="1650"/>
      <c r="AM114" s="1650"/>
      <c r="AN114" s="1650"/>
      <c r="AO114" s="1650"/>
      <c r="AP114" s="1650"/>
      <c r="AQ114" s="1650"/>
      <c r="AR114" s="1375"/>
      <c r="AT114" s="1375"/>
      <c r="AU114" s="1645"/>
      <c r="AV114" s="1645"/>
      <c r="AW114" s="1375"/>
      <c r="AX114" s="1375"/>
      <c r="AY114" s="1375"/>
      <c r="AZ114" s="1375"/>
      <c r="BA114" s="1645"/>
      <c r="BB114" s="1375"/>
      <c r="BC114" s="1375"/>
      <c r="BD114" s="553"/>
      <c r="BE114" s="1375"/>
      <c r="BF114" s="1375"/>
      <c r="BG114" s="1375"/>
      <c r="BH114" s="1375"/>
      <c r="BI114" s="1375"/>
      <c r="BJ114" s="1641"/>
      <c r="BK114" s="631"/>
      <c r="BL114" s="631"/>
      <c r="BM114" s="631"/>
      <c r="BN114" s="631"/>
      <c r="BO114" s="1650">
        <v>11</v>
      </c>
    </row>
    <row s="1650" customFormat="1" customHeight="1" ht="11.549999999999999">
      <c r="A115" s="996"/>
      <c r="B115" s="996"/>
      <c r="C115" s="996"/>
      <c r="D115" s="996"/>
      <c r="E115" s="996"/>
      <c r="F115" s="1645"/>
      <c r="G115" s="1645"/>
      <c r="H115" s="360"/>
      <c r="N115" s="1650"/>
      <c r="O115" s="1650"/>
      <c r="P115" s="1650"/>
      <c r="Q115" s="1650"/>
      <c r="R115" s="1650"/>
      <c r="S115" s="1650"/>
      <c r="T115" s="1650"/>
      <c r="U115" s="1650"/>
      <c r="V115" s="1650"/>
      <c r="W115" s="1650"/>
      <c r="X115" s="1650"/>
      <c r="Y115" s="1650"/>
      <c r="Z115" s="1650"/>
      <c r="AA115" s="1650"/>
      <c r="AB115" s="1650"/>
      <c r="AC115" s="1650"/>
      <c r="AD115" s="1650"/>
      <c r="AE115" s="1650"/>
      <c r="AF115" s="1650"/>
      <c r="AG115" s="1650"/>
      <c r="AH115" s="1650"/>
      <c r="AI115" s="1650"/>
      <c r="AJ115" s="1650"/>
      <c r="AK115" s="1650"/>
      <c r="AL115" s="1650"/>
      <c r="AM115" s="1650"/>
      <c r="AN115" s="1650"/>
      <c r="AO115" s="1650"/>
      <c r="AP115" s="1650"/>
      <c r="AQ115" s="1650"/>
      <c r="AR115" s="1375"/>
      <c r="AT115" s="1375"/>
      <c r="AU115" s="1645"/>
      <c r="AV115" s="1645"/>
      <c r="AW115" s="1375"/>
      <c r="AX115" s="1375"/>
      <c r="AY115" s="1375"/>
      <c r="AZ115" s="1375"/>
      <c r="BA115" s="1645"/>
      <c r="BB115" s="1375"/>
      <c r="BC115" s="1375"/>
      <c r="BD115" s="553"/>
      <c r="BE115" s="1375"/>
      <c r="BF115" s="1375"/>
      <c r="BG115" s="1375"/>
      <c r="BH115" s="1375"/>
      <c r="BI115" s="1375"/>
      <c r="BJ115" s="1641"/>
      <c r="BK115" s="631"/>
      <c r="BL115" s="631"/>
      <c r="BM115" s="631"/>
      <c r="BN115" s="631"/>
      <c r="BO115" s="1650">
        <v>11</v>
      </c>
    </row>
    <row s="1650" customFormat="1" customHeight="1" ht="11.549999999999999">
      <c r="A116" s="996"/>
      <c r="B116" s="996"/>
      <c r="C116" s="996"/>
      <c r="D116" s="996"/>
      <c r="E116" s="996"/>
      <c r="F116" s="1645"/>
      <c r="G116" s="1645"/>
      <c r="H116" s="36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I116" s="1650"/>
      <c r="AJ116" s="1650"/>
      <c r="AK116" s="1650"/>
      <c r="AL116" s="1650"/>
      <c r="AM116" s="1650"/>
      <c r="AN116" s="1650"/>
      <c r="AO116" s="1650"/>
      <c r="AP116" s="1650"/>
      <c r="AQ116" s="1650"/>
      <c r="AR116" s="1375"/>
      <c r="AT116" s="1375"/>
      <c r="AU116" s="1645"/>
      <c r="AV116" s="1645"/>
      <c r="AW116" s="1375"/>
      <c r="AX116" s="1375"/>
      <c r="AY116" s="1375"/>
      <c r="AZ116" s="1375"/>
      <c r="BA116" s="1645"/>
      <c r="BB116" s="1375"/>
      <c r="BC116" s="1375"/>
      <c r="BD116" s="553"/>
      <c r="BE116" s="1375"/>
      <c r="BF116" s="1375"/>
      <c r="BG116" s="1375"/>
      <c r="BH116" s="1375"/>
      <c r="BI116" s="1375"/>
      <c r="BJ116" s="1641"/>
      <c r="BK116" s="631"/>
      <c r="BL116" s="631"/>
      <c r="BM116" s="631"/>
      <c r="BN116" s="631"/>
      <c r="BO116" s="1650">
        <v>11</v>
      </c>
    </row>
    <row s="1650" customFormat="1" customHeight="1" ht="11.549999999999999">
      <c r="A117" s="996"/>
      <c r="B117" s="996"/>
      <c r="C117" s="996"/>
      <c r="D117" s="996"/>
      <c r="E117" s="996"/>
      <c r="F117" s="1645"/>
      <c r="G117" s="1645"/>
      <c r="H117" s="36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I117" s="1650"/>
      <c r="AJ117" s="1650"/>
      <c r="AK117" s="1650"/>
      <c r="AL117" s="1650"/>
      <c r="AM117" s="1650"/>
      <c r="AN117" s="1650"/>
      <c r="AO117" s="1650"/>
      <c r="AP117" s="1650"/>
      <c r="AQ117" s="1650"/>
      <c r="AR117" s="1375"/>
      <c r="AT117" s="1375"/>
      <c r="AU117" s="1645"/>
      <c r="AV117" s="1645"/>
      <c r="AW117" s="1375"/>
      <c r="AX117" s="1375"/>
      <c r="AY117" s="1375"/>
      <c r="AZ117" s="1375"/>
      <c r="BA117" s="1645"/>
      <c r="BB117" s="1375"/>
      <c r="BC117" s="1375"/>
      <c r="BD117" s="553"/>
      <c r="BE117" s="1375"/>
      <c r="BF117" s="1375"/>
      <c r="BG117" s="1375"/>
      <c r="BH117" s="1375"/>
      <c r="BI117" s="1375"/>
      <c r="BJ117" s="1641"/>
      <c r="BK117" s="631"/>
      <c r="BL117" s="631"/>
      <c r="BM117" s="631"/>
      <c r="BN117" s="631"/>
      <c r="BO117" s="1650">
        <v>11</v>
      </c>
    </row>
    <row s="1650" customFormat="1" customHeight="1" ht="11.549999999999999">
      <c r="A118" s="996"/>
      <c r="B118" s="996"/>
      <c r="C118" s="996"/>
      <c r="D118" s="996"/>
      <c r="E118" s="996"/>
      <c r="F118" s="1645"/>
      <c r="G118" s="1645"/>
      <c r="H118" s="360"/>
      <c r="N118" s="1650"/>
      <c r="O118" s="1650"/>
      <c r="P118" s="1650"/>
      <c r="Q118" s="1650"/>
      <c r="R118" s="1650"/>
      <c r="S118" s="1650"/>
      <c r="T118" s="1650"/>
      <c r="U118" s="1650"/>
      <c r="V118" s="1650"/>
      <c r="W118" s="1650"/>
      <c r="X118" s="1650"/>
      <c r="Y118" s="1650"/>
      <c r="Z118" s="1650"/>
      <c r="AA118" s="1650"/>
      <c r="AB118" s="1650"/>
      <c r="AC118" s="1650"/>
      <c r="AD118" s="1650"/>
      <c r="AE118" s="1650"/>
      <c r="AF118" s="1650"/>
      <c r="AG118" s="1650"/>
      <c r="AH118" s="1650"/>
      <c r="AI118" s="1650"/>
      <c r="AJ118" s="1650"/>
      <c r="AK118" s="1650"/>
      <c r="AL118" s="1650"/>
      <c r="AM118" s="1650"/>
      <c r="AN118" s="1650"/>
      <c r="AO118" s="1650"/>
      <c r="AP118" s="1650"/>
      <c r="AQ118" s="1650"/>
      <c r="AR118" s="1375"/>
      <c r="AT118" s="1375"/>
      <c r="AU118" s="1645"/>
      <c r="AV118" s="1645"/>
      <c r="AW118" s="1375"/>
      <c r="AX118" s="1375"/>
      <c r="AY118" s="1375"/>
      <c r="AZ118" s="1375"/>
      <c r="BA118" s="1645"/>
      <c r="BB118" s="1375"/>
      <c r="BC118" s="1375"/>
      <c r="BD118" s="553"/>
      <c r="BE118" s="1375"/>
      <c r="BF118" s="1375"/>
      <c r="BG118" s="1375"/>
      <c r="BH118" s="1375"/>
      <c r="BI118" s="1375"/>
      <c r="BJ118" s="1641"/>
      <c r="BK118" s="631"/>
      <c r="BL118" s="631"/>
      <c r="BM118" s="631"/>
      <c r="BN118" s="631"/>
      <c r="BO118" s="1650">
        <v>11</v>
      </c>
    </row>
    <row s="1650" customFormat="1" customHeight="1" ht="11.549999999999999">
      <c r="A119" s="996"/>
      <c r="B119" s="996"/>
      <c r="C119" s="996"/>
      <c r="D119" s="996"/>
      <c r="E119" s="996"/>
      <c r="F119" s="1645"/>
      <c r="G119" s="1645"/>
      <c r="H119" s="360"/>
      <c r="N119" s="1650"/>
      <c r="O119" s="1650"/>
      <c r="P119" s="1650"/>
      <c r="Q119" s="1650"/>
      <c r="R119" s="1650"/>
      <c r="S119" s="1650"/>
      <c r="T119" s="1650"/>
      <c r="U119" s="1650"/>
      <c r="V119" s="1650"/>
      <c r="W119" s="1650"/>
      <c r="X119" s="1650"/>
      <c r="Y119" s="1650"/>
      <c r="Z119" s="1650"/>
      <c r="AA119" s="1650"/>
      <c r="AB119" s="1650"/>
      <c r="AC119" s="1650"/>
      <c r="AD119" s="1650"/>
      <c r="AE119" s="1650"/>
      <c r="AF119" s="1650"/>
      <c r="AG119" s="1650"/>
      <c r="AH119" s="1650"/>
      <c r="AI119" s="1650"/>
      <c r="AJ119" s="1650"/>
      <c r="AK119" s="1650"/>
      <c r="AL119" s="1650"/>
      <c r="AM119" s="1650"/>
      <c r="AN119" s="1650"/>
      <c r="AO119" s="1650"/>
      <c r="AP119" s="1650"/>
      <c r="AQ119" s="1650"/>
      <c r="AR119" s="1375"/>
      <c r="AT119" s="1375"/>
      <c r="AU119" s="1645"/>
      <c r="AV119" s="1645"/>
      <c r="AW119" s="1375"/>
      <c r="AX119" s="1375"/>
      <c r="AY119" s="1375"/>
      <c r="AZ119" s="1375"/>
      <c r="BA119" s="1645"/>
      <c r="BB119" s="1375"/>
      <c r="BC119" s="1375"/>
      <c r="BD119" s="553"/>
      <c r="BE119" s="1375"/>
      <c r="BF119" s="1375"/>
      <c r="BG119" s="1375"/>
      <c r="BH119" s="1375"/>
      <c r="BI119" s="1375"/>
      <c r="BJ119" s="1641"/>
      <c r="BK119" s="631"/>
      <c r="BL119" s="631"/>
      <c r="BM119" s="631"/>
      <c r="BN119" s="631"/>
      <c r="BO119" s="1650">
        <v>11</v>
      </c>
    </row>
    <row s="1650" customFormat="1" customHeight="1" ht="11.549999999999999">
      <c r="A120" s="996"/>
      <c r="B120" s="996"/>
      <c r="C120" s="996"/>
      <c r="D120" s="996"/>
      <c r="E120" s="996"/>
      <c r="F120" s="1645"/>
      <c r="G120" s="1645"/>
      <c r="H120" s="36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1650"/>
      <c r="AI120" s="1650"/>
      <c r="AJ120" s="1650"/>
      <c r="AK120" s="1650"/>
      <c r="AL120" s="1650"/>
      <c r="AM120" s="1650"/>
      <c r="AN120" s="1650"/>
      <c r="AO120" s="1650"/>
      <c r="AP120" s="1650"/>
      <c r="AQ120" s="1650"/>
      <c r="AR120" s="1375"/>
      <c r="AT120" s="1375"/>
      <c r="AU120" s="1645"/>
      <c r="AV120" s="1645"/>
      <c r="AW120" s="1375"/>
      <c r="AX120" s="1375"/>
      <c r="AY120" s="1375"/>
      <c r="AZ120" s="1375"/>
      <c r="BA120" s="1645"/>
      <c r="BB120" s="1375"/>
      <c r="BC120" s="1375"/>
      <c r="BD120" s="553"/>
      <c r="BE120" s="1375"/>
      <c r="BF120" s="1375"/>
      <c r="BG120" s="1375"/>
      <c r="BH120" s="1375"/>
      <c r="BI120" s="1375"/>
      <c r="BJ120" s="1641"/>
      <c r="BK120" s="631"/>
      <c r="BL120" s="631"/>
      <c r="BM120" s="631"/>
      <c r="BN120" s="631"/>
      <c r="BO120" s="1650">
        <v>11</v>
      </c>
    </row>
    <row s="1650" customFormat="1" customHeight="1" ht="11.549999999999999">
      <c r="A121" s="996"/>
      <c r="B121" s="996"/>
      <c r="C121" s="996"/>
      <c r="D121" s="996"/>
      <c r="E121" s="996"/>
      <c r="F121" s="1645"/>
      <c r="G121" s="1645"/>
      <c r="H121" s="36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1650"/>
      <c r="AI121" s="1650"/>
      <c r="AJ121" s="1650"/>
      <c r="AK121" s="1650"/>
      <c r="AL121" s="1650"/>
      <c r="AM121" s="1650"/>
      <c r="AN121" s="1650"/>
      <c r="AO121" s="1650"/>
      <c r="AP121" s="1650"/>
      <c r="AQ121" s="1650"/>
      <c r="AR121" s="1375"/>
      <c r="AT121" s="1375"/>
      <c r="AU121" s="1645"/>
      <c r="AV121" s="1645"/>
      <c r="AW121" s="1375"/>
      <c r="AX121" s="1375"/>
      <c r="AY121" s="1375"/>
      <c r="AZ121" s="1375"/>
      <c r="BA121" s="1645"/>
      <c r="BB121" s="1375"/>
      <c r="BC121" s="1375"/>
      <c r="BD121" s="553"/>
      <c r="BE121" s="1375"/>
      <c r="BF121" s="1375"/>
      <c r="BG121" s="1375"/>
      <c r="BH121" s="1375"/>
      <c r="BI121" s="1375"/>
      <c r="BJ121" s="1641"/>
      <c r="BK121" s="631"/>
      <c r="BL121" s="631"/>
      <c r="BM121" s="631"/>
      <c r="BN121" s="631"/>
      <c r="BO121" s="1650">
        <v>11</v>
      </c>
    </row>
    <row s="1650" customFormat="1" customHeight="1" ht="11.549999999999999">
      <c r="A122" s="996"/>
      <c r="B122" s="996"/>
      <c r="C122" s="996"/>
      <c r="D122" s="996"/>
      <c r="E122" s="996"/>
      <c r="F122" s="1645"/>
      <c r="G122" s="1645"/>
      <c r="H122" s="36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1650"/>
      <c r="AI122" s="1650"/>
      <c r="AJ122" s="1650"/>
      <c r="AK122" s="1650"/>
      <c r="AL122" s="1650"/>
      <c r="AM122" s="1650"/>
      <c r="AN122" s="1650"/>
      <c r="AO122" s="1650"/>
      <c r="AP122" s="1650"/>
      <c r="AQ122" s="1650"/>
      <c r="AR122" s="1375"/>
      <c r="AT122" s="1375"/>
      <c r="AU122" s="1645"/>
      <c r="AV122" s="1645"/>
      <c r="AW122" s="1375"/>
      <c r="AX122" s="1375"/>
      <c r="AY122" s="1375"/>
      <c r="AZ122" s="1375"/>
      <c r="BA122" s="1645"/>
      <c r="BB122" s="1375"/>
      <c r="BC122" s="1375"/>
      <c r="BD122" s="553"/>
      <c r="BE122" s="1375"/>
      <c r="BF122" s="1375"/>
      <c r="BG122" s="1375"/>
      <c r="BH122" s="1375"/>
      <c r="BI122" s="1375"/>
      <c r="BJ122" s="1641"/>
      <c r="BK122" s="631"/>
      <c r="BL122" s="631"/>
      <c r="BM122" s="631"/>
      <c r="BN122" s="631"/>
      <c r="BO122" s="1650">
        <v>11</v>
      </c>
    </row>
    <row s="1650" customFormat="1" customHeight="1" ht="11.549999999999999">
      <c r="A123" s="996"/>
      <c r="B123" s="996"/>
      <c r="C123" s="996"/>
      <c r="D123" s="996"/>
      <c r="E123" s="996"/>
      <c r="F123" s="1645"/>
      <c r="G123" s="1645"/>
      <c r="H123" s="360"/>
      <c r="N123" s="1650"/>
      <c r="O123" s="1650"/>
      <c r="P123" s="1650"/>
      <c r="Q123" s="1650"/>
      <c r="R123" s="1650"/>
      <c r="S123" s="1650"/>
      <c r="T123" s="1650"/>
      <c r="U123" s="1650"/>
      <c r="V123" s="1650"/>
      <c r="W123" s="1650"/>
      <c r="X123" s="1650"/>
      <c r="Y123" s="1650"/>
      <c r="Z123" s="1650"/>
      <c r="AA123" s="1650"/>
      <c r="AB123" s="1650"/>
      <c r="AC123" s="1650"/>
      <c r="AD123" s="1650"/>
      <c r="AE123" s="1650"/>
      <c r="AF123" s="1650"/>
      <c r="AG123" s="1650"/>
      <c r="AH123" s="1650"/>
      <c r="AI123" s="1650"/>
      <c r="AJ123" s="1650"/>
      <c r="AK123" s="1650"/>
      <c r="AL123" s="1650"/>
      <c r="AM123" s="1650"/>
      <c r="AN123" s="1650"/>
      <c r="AO123" s="1650"/>
      <c r="AP123" s="1650"/>
      <c r="AQ123" s="1650"/>
      <c r="AR123" s="1375"/>
      <c r="AT123" s="1375"/>
      <c r="AU123" s="1645"/>
      <c r="AV123" s="1645"/>
      <c r="AW123" s="1375"/>
      <c r="AX123" s="1375"/>
      <c r="AY123" s="1375"/>
      <c r="AZ123" s="1375"/>
      <c r="BA123" s="1645"/>
      <c r="BB123" s="1375"/>
      <c r="BC123" s="1375"/>
      <c r="BD123" s="553"/>
      <c r="BE123" s="1375"/>
      <c r="BF123" s="1375"/>
      <c r="BG123" s="1375"/>
      <c r="BH123" s="1375"/>
      <c r="BI123" s="1375"/>
      <c r="BJ123" s="1641"/>
      <c r="BK123" s="631"/>
      <c r="BL123" s="631"/>
      <c r="BM123" s="631"/>
      <c r="BN123" s="631"/>
      <c r="BO123" s="1650">
        <v>11</v>
      </c>
    </row>
    <row s="1650" customFormat="1" customHeight="1" ht="11.549999999999999">
      <c r="A124" s="996"/>
      <c r="B124" s="996"/>
      <c r="C124" s="996"/>
      <c r="D124" s="996"/>
      <c r="E124" s="996"/>
      <c r="F124" s="1645"/>
      <c r="G124" s="1645"/>
      <c r="H124" s="360"/>
      <c r="N124" s="1650"/>
      <c r="O124" s="1650"/>
      <c r="P124" s="1650"/>
      <c r="Q124" s="1650"/>
      <c r="R124" s="1650"/>
      <c r="S124" s="1650"/>
      <c r="T124" s="1650"/>
      <c r="U124" s="1650"/>
      <c r="V124" s="1650"/>
      <c r="W124" s="1650"/>
      <c r="X124" s="1650"/>
      <c r="Y124" s="1650"/>
      <c r="Z124" s="1650"/>
      <c r="AA124" s="1650"/>
      <c r="AB124" s="1650"/>
      <c r="AC124" s="1650"/>
      <c r="AD124" s="1650"/>
      <c r="AE124" s="1650"/>
      <c r="AF124" s="1650"/>
      <c r="AG124" s="1650"/>
      <c r="AH124" s="1650"/>
      <c r="AI124" s="1650"/>
      <c r="AJ124" s="1650"/>
      <c r="AK124" s="1650"/>
      <c r="AL124" s="1650"/>
      <c r="AM124" s="1650"/>
      <c r="AN124" s="1650"/>
      <c r="AO124" s="1650"/>
      <c r="AP124" s="1650"/>
      <c r="AQ124" s="1650"/>
      <c r="AR124" s="1375"/>
      <c r="AT124" s="1375"/>
      <c r="AU124" s="1645"/>
      <c r="AV124" s="1645"/>
      <c r="AW124" s="1375"/>
      <c r="AX124" s="1375"/>
      <c r="AY124" s="1375"/>
      <c r="AZ124" s="1375"/>
      <c r="BA124" s="1645"/>
      <c r="BB124" s="1375"/>
      <c r="BC124" s="1375"/>
      <c r="BD124" s="553"/>
      <c r="BE124" s="1375"/>
      <c r="BF124" s="1375"/>
      <c r="BG124" s="1375"/>
      <c r="BH124" s="1375"/>
      <c r="BI124" s="1375"/>
      <c r="BJ124" s="1641"/>
      <c r="BK124" s="631"/>
      <c r="BL124" s="631"/>
      <c r="BM124" s="631"/>
      <c r="BN124" s="631"/>
      <c r="BO124" s="1650">
        <v>11</v>
      </c>
    </row>
    <row s="1650" customFormat="1" customHeight="1" ht="11.549999999999999">
      <c r="A125" s="996"/>
      <c r="B125" s="996"/>
      <c r="C125" s="996"/>
      <c r="D125" s="996"/>
      <c r="E125" s="996"/>
      <c r="F125" s="1645"/>
      <c r="G125" s="1645"/>
      <c r="H125" s="360"/>
      <c r="N125" s="1650"/>
      <c r="O125" s="1650"/>
      <c r="P125" s="1650"/>
      <c r="Q125" s="1650"/>
      <c r="R125" s="1650"/>
      <c r="S125" s="1650"/>
      <c r="T125" s="1650"/>
      <c r="U125" s="1650"/>
      <c r="V125" s="1650"/>
      <c r="W125" s="1650"/>
      <c r="X125" s="1650"/>
      <c r="Y125" s="1650"/>
      <c r="Z125" s="1650"/>
      <c r="AA125" s="1650"/>
      <c r="AB125" s="1650"/>
      <c r="AC125" s="1650"/>
      <c r="AD125" s="1650"/>
      <c r="AE125" s="1650"/>
      <c r="AF125" s="1650"/>
      <c r="AG125" s="1650"/>
      <c r="AH125" s="1650"/>
      <c r="AI125" s="1650"/>
      <c r="AJ125" s="1650"/>
      <c r="AK125" s="1650"/>
      <c r="AL125" s="1650"/>
      <c r="AM125" s="1650"/>
      <c r="AN125" s="1650"/>
      <c r="AO125" s="1650"/>
      <c r="AP125" s="1650"/>
      <c r="AQ125" s="1650"/>
      <c r="AR125" s="1375"/>
      <c r="AT125" s="1375"/>
      <c r="AU125" s="1645"/>
      <c r="AV125" s="1645"/>
      <c r="AW125" s="1375"/>
      <c r="AX125" s="1375"/>
      <c r="AY125" s="1375"/>
      <c r="AZ125" s="1375"/>
      <c r="BA125" s="1645"/>
      <c r="BB125" s="1375"/>
      <c r="BC125" s="1375"/>
      <c r="BD125" s="553"/>
      <c r="BE125" s="1375"/>
      <c r="BF125" s="1375"/>
      <c r="BG125" s="1375"/>
      <c r="BH125" s="1375"/>
      <c r="BI125" s="1375"/>
      <c r="BJ125" s="1641"/>
      <c r="BK125" s="631"/>
      <c r="BL125" s="631"/>
      <c r="BM125" s="631"/>
      <c r="BN125" s="631"/>
      <c r="BO125" s="1650">
        <v>11</v>
      </c>
    </row>
    <row s="1650" customFormat="1" customHeight="1" ht="11.549999999999999">
      <c r="A126" s="996"/>
      <c r="B126" s="996"/>
      <c r="C126" s="996"/>
      <c r="D126" s="996"/>
      <c r="E126" s="996"/>
      <c r="F126" s="1645"/>
      <c r="G126" s="1645"/>
      <c r="H126" s="360"/>
      <c r="N126" s="1650"/>
      <c r="O126" s="1650"/>
      <c r="P126" s="1650"/>
      <c r="Q126" s="1650"/>
      <c r="R126" s="1650"/>
      <c r="S126" s="1650"/>
      <c r="T126" s="1650"/>
      <c r="U126" s="1650"/>
      <c r="V126" s="1650"/>
      <c r="W126" s="1650"/>
      <c r="X126" s="1650"/>
      <c r="Y126" s="1650"/>
      <c r="Z126" s="1650"/>
      <c r="AA126" s="1650"/>
      <c r="AB126" s="1650"/>
      <c r="AC126" s="1650"/>
      <c r="AD126" s="1650"/>
      <c r="AE126" s="1650"/>
      <c r="AF126" s="1650"/>
      <c r="AG126" s="1650"/>
      <c r="AH126" s="1650"/>
      <c r="AI126" s="1650"/>
      <c r="AJ126" s="1650"/>
      <c r="AK126" s="1650"/>
      <c r="AL126" s="1650"/>
      <c r="AM126" s="1650"/>
      <c r="AN126" s="1650"/>
      <c r="AO126" s="1650"/>
      <c r="AP126" s="1650"/>
      <c r="AQ126" s="1650"/>
      <c r="AR126" s="1375"/>
      <c r="AT126" s="1375"/>
      <c r="AU126" s="1645"/>
      <c r="AV126" s="1645"/>
      <c r="AW126" s="1375"/>
      <c r="AX126" s="1375"/>
      <c r="AY126" s="1375"/>
      <c r="AZ126" s="1375"/>
      <c r="BA126" s="1645"/>
      <c r="BB126" s="1375"/>
      <c r="BC126" s="1375"/>
      <c r="BD126" s="553"/>
      <c r="BE126" s="1375"/>
      <c r="BF126" s="1375"/>
      <c r="BG126" s="1375"/>
      <c r="BH126" s="1375"/>
      <c r="BI126" s="1375"/>
      <c r="BJ126" s="1641"/>
      <c r="BK126" s="631"/>
      <c r="BL126" s="631"/>
      <c r="BM126" s="631"/>
      <c r="BN126" s="631"/>
      <c r="BO126" s="1650">
        <v>11</v>
      </c>
    </row>
    <row s="1650" customFormat="1" customHeight="1" ht="11.549999999999999">
      <c r="A127" s="996"/>
      <c r="B127" s="996"/>
      <c r="C127" s="996"/>
      <c r="D127" s="996"/>
      <c r="E127" s="996"/>
      <c r="F127" s="1645"/>
      <c r="G127" s="1645"/>
      <c r="H127" s="360"/>
      <c r="N127" s="1650"/>
      <c r="O127" s="1650"/>
      <c r="P127" s="1650"/>
      <c r="Q127" s="1650"/>
      <c r="R127" s="1650"/>
      <c r="S127" s="1650"/>
      <c r="T127" s="1650"/>
      <c r="U127" s="1650"/>
      <c r="V127" s="1650"/>
      <c r="W127" s="1650"/>
      <c r="X127" s="1650"/>
      <c r="Y127" s="1650"/>
      <c r="Z127" s="1650"/>
      <c r="AA127" s="1650"/>
      <c r="AB127" s="1650"/>
      <c r="AC127" s="1650"/>
      <c r="AD127" s="1650"/>
      <c r="AE127" s="1650"/>
      <c r="AF127" s="1650"/>
      <c r="AG127" s="1650"/>
      <c r="AH127" s="1650"/>
      <c r="AI127" s="1650"/>
      <c r="AJ127" s="1650"/>
      <c r="AK127" s="1650"/>
      <c r="AL127" s="1650"/>
      <c r="AM127" s="1650"/>
      <c r="AN127" s="1650"/>
      <c r="AO127" s="1650"/>
      <c r="AP127" s="1650"/>
      <c r="AQ127" s="1650"/>
      <c r="AR127" s="1375"/>
      <c r="AT127" s="1375"/>
      <c r="AU127" s="1645"/>
      <c r="AV127" s="1645"/>
      <c r="AW127" s="1375"/>
      <c r="AX127" s="1375"/>
      <c r="AY127" s="1375"/>
      <c r="AZ127" s="1375"/>
      <c r="BA127" s="1645"/>
      <c r="BB127" s="1375"/>
      <c r="BC127" s="1375"/>
      <c r="BD127" s="553"/>
      <c r="BE127" s="1375"/>
      <c r="BF127" s="1375"/>
      <c r="BG127" s="1375"/>
      <c r="BH127" s="1375"/>
      <c r="BI127" s="1375"/>
      <c r="BJ127" s="1641"/>
      <c r="BK127" s="631"/>
      <c r="BL127" s="631"/>
      <c r="BM127" s="631"/>
      <c r="BN127" s="631"/>
      <c r="BO127" s="1650">
        <v>11</v>
      </c>
    </row>
    <row s="1650" customFormat="1" customHeight="1" ht="11.549999999999999">
      <c r="A128" s="996"/>
      <c r="B128" s="996"/>
      <c r="C128" s="996"/>
      <c r="D128" s="996"/>
      <c r="E128" s="996"/>
      <c r="F128" s="1645"/>
      <c r="G128" s="1645"/>
      <c r="H128" s="360"/>
      <c r="N128" s="1650"/>
      <c r="O128" s="1650"/>
      <c r="P128" s="1650"/>
      <c r="Q128" s="1650"/>
      <c r="R128" s="1650"/>
      <c r="S128" s="1650"/>
      <c r="T128" s="1650"/>
      <c r="U128" s="1650"/>
      <c r="V128" s="1650"/>
      <c r="W128" s="1650"/>
      <c r="X128" s="1650"/>
      <c r="Y128" s="1650"/>
      <c r="Z128" s="1650"/>
      <c r="AA128" s="1650"/>
      <c r="AB128" s="1650"/>
      <c r="AC128" s="1650"/>
      <c r="AD128" s="1650"/>
      <c r="AE128" s="1650"/>
      <c r="AF128" s="1650"/>
      <c r="AG128" s="1650"/>
      <c r="AH128" s="1650"/>
      <c r="AI128" s="1650"/>
      <c r="AJ128" s="1650"/>
      <c r="AK128" s="1650"/>
      <c r="AL128" s="1650"/>
      <c r="AM128" s="1650"/>
      <c r="AN128" s="1650"/>
      <c r="AO128" s="1650"/>
      <c r="AP128" s="1650"/>
      <c r="AQ128" s="1650"/>
      <c r="AR128" s="1375"/>
      <c r="AT128" s="1375"/>
      <c r="AU128" s="1645"/>
      <c r="AV128" s="1645"/>
      <c r="AW128" s="1375"/>
      <c r="AX128" s="1375"/>
      <c r="AY128" s="1375"/>
      <c r="AZ128" s="1375"/>
      <c r="BA128" s="1645"/>
      <c r="BB128" s="1375"/>
      <c r="BC128" s="1375"/>
      <c r="BD128" s="553"/>
      <c r="BE128" s="1375"/>
      <c r="BF128" s="1375"/>
      <c r="BG128" s="1375"/>
      <c r="BH128" s="1375"/>
      <c r="BI128" s="1375"/>
      <c r="BJ128" s="1641"/>
      <c r="BK128" s="631"/>
      <c r="BL128" s="631"/>
      <c r="BM128" s="631"/>
      <c r="BN128" s="631"/>
      <c r="BO128" s="1650">
        <v>11</v>
      </c>
    </row>
    <row s="1650" customFormat="1" customHeight="1" ht="11.549999999999999">
      <c r="A129" s="996"/>
      <c r="B129" s="996"/>
      <c r="C129" s="996"/>
      <c r="D129" s="996"/>
      <c r="E129" s="996"/>
      <c r="F129" s="1645"/>
      <c r="G129" s="1645"/>
      <c r="H129" s="360"/>
      <c r="N129" s="1650"/>
      <c r="O129" s="1650"/>
      <c r="P129" s="1650"/>
      <c r="Q129" s="1650"/>
      <c r="R129" s="1650"/>
      <c r="S129" s="1650"/>
      <c r="T129" s="1650"/>
      <c r="U129" s="1650"/>
      <c r="V129" s="1650"/>
      <c r="W129" s="1650"/>
      <c r="X129" s="1650"/>
      <c r="Y129" s="1650"/>
      <c r="Z129" s="1650"/>
      <c r="AA129" s="1650"/>
      <c r="AB129" s="1650"/>
      <c r="AC129" s="1650"/>
      <c r="AD129" s="1650"/>
      <c r="AE129" s="1650"/>
      <c r="AF129" s="1650"/>
      <c r="AG129" s="1650"/>
      <c r="AH129" s="1650"/>
      <c r="AI129" s="1650"/>
      <c r="AJ129" s="1650"/>
      <c r="AK129" s="1650"/>
      <c r="AL129" s="1650"/>
      <c r="AM129" s="1650"/>
      <c r="AN129" s="1650"/>
      <c r="AO129" s="1650"/>
      <c r="AP129" s="1650"/>
      <c r="AQ129" s="1650"/>
      <c r="AR129" s="1375"/>
      <c r="AT129" s="1375"/>
      <c r="AU129" s="1645"/>
      <c r="AV129" s="1645"/>
      <c r="AW129" s="1375"/>
      <c r="AX129" s="1375"/>
      <c r="AY129" s="1375"/>
      <c r="AZ129" s="1375"/>
      <c r="BA129" s="1645"/>
      <c r="BB129" s="1375"/>
      <c r="BC129" s="1375"/>
      <c r="BD129" s="553"/>
      <c r="BE129" s="1375"/>
      <c r="BF129" s="1375"/>
      <c r="BG129" s="1375"/>
      <c r="BH129" s="1375"/>
      <c r="BI129" s="1375"/>
      <c r="BJ129" s="1641"/>
      <c r="BK129" s="631"/>
      <c r="BL129" s="631"/>
      <c r="BM129" s="631"/>
      <c r="BN129" s="631"/>
      <c r="BO129" s="1650">
        <v>11</v>
      </c>
    </row>
    <row s="1650" customFormat="1" customHeight="1" ht="11.549999999999999">
      <c r="A130" s="996"/>
      <c r="B130" s="996"/>
      <c r="C130" s="996"/>
      <c r="D130" s="996"/>
      <c r="E130" s="996"/>
      <c r="F130" s="1645"/>
      <c r="G130" s="1645"/>
      <c r="H130" s="360"/>
      <c r="N130" s="1650"/>
      <c r="O130" s="1650"/>
      <c r="P130" s="1650"/>
      <c r="Q130" s="1650"/>
      <c r="R130" s="1650"/>
      <c r="S130" s="1650"/>
      <c r="T130" s="1650"/>
      <c r="U130" s="1650"/>
      <c r="V130" s="1650"/>
      <c r="W130" s="1650"/>
      <c r="X130" s="1650"/>
      <c r="Y130" s="1650"/>
      <c r="Z130" s="1650"/>
      <c r="AA130" s="1650"/>
      <c r="AB130" s="1650"/>
      <c r="AC130" s="1650"/>
      <c r="AD130" s="1650"/>
      <c r="AE130" s="1650"/>
      <c r="AF130" s="1650"/>
      <c r="AG130" s="1650"/>
      <c r="AH130" s="1650"/>
      <c r="AI130" s="1650"/>
      <c r="AJ130" s="1650"/>
      <c r="AK130" s="1650"/>
      <c r="AL130" s="1650"/>
      <c r="AM130" s="1650"/>
      <c r="AN130" s="1650"/>
      <c r="AO130" s="1650"/>
      <c r="AP130" s="1650"/>
      <c r="AQ130" s="1650"/>
      <c r="AR130" s="1375"/>
      <c r="AT130" s="1375"/>
      <c r="AU130" s="1645"/>
      <c r="AV130" s="1645"/>
      <c r="AW130" s="1375"/>
      <c r="AX130" s="1375"/>
      <c r="AY130" s="1375"/>
      <c r="AZ130" s="1375"/>
      <c r="BA130" s="1645"/>
      <c r="BB130" s="1375"/>
      <c r="BC130" s="1375"/>
      <c r="BD130" s="553"/>
      <c r="BE130" s="1375"/>
      <c r="BF130" s="1375"/>
      <c r="BG130" s="1375"/>
      <c r="BH130" s="1375"/>
      <c r="BI130" s="1375"/>
      <c r="BJ130" s="1641"/>
      <c r="BK130" s="631"/>
      <c r="BL130" s="631"/>
      <c r="BM130" s="631"/>
      <c r="BN130" s="631"/>
      <c r="BO130" s="1650">
        <v>11</v>
      </c>
    </row>
    <row s="1650" customFormat="1" customHeight="1" ht="11.549999999999999">
      <c r="A131" s="996"/>
      <c r="B131" s="996"/>
      <c r="C131" s="996"/>
      <c r="D131" s="996"/>
      <c r="E131" s="996"/>
      <c r="F131" s="1645"/>
      <c r="G131" s="1645"/>
      <c r="H131" s="360"/>
      <c r="N131" s="1650"/>
      <c r="O131" s="1650"/>
      <c r="P131" s="1650"/>
      <c r="Q131" s="1650"/>
      <c r="R131" s="1650"/>
      <c r="S131" s="1650"/>
      <c r="T131" s="1650"/>
      <c r="U131" s="1650"/>
      <c r="V131" s="1650"/>
      <c r="W131" s="1650"/>
      <c r="X131" s="1650"/>
      <c r="Y131" s="1650"/>
      <c r="Z131" s="1650"/>
      <c r="AA131" s="1650"/>
      <c r="AB131" s="1650"/>
      <c r="AC131" s="1650"/>
      <c r="AD131" s="1650"/>
      <c r="AE131" s="1650"/>
      <c r="AF131" s="1650"/>
      <c r="AG131" s="1650"/>
      <c r="AH131" s="1650"/>
      <c r="AI131" s="1650"/>
      <c r="AJ131" s="1650"/>
      <c r="AK131" s="1650"/>
      <c r="AL131" s="1650"/>
      <c r="AM131" s="1650"/>
      <c r="AN131" s="1650"/>
      <c r="AO131" s="1650"/>
      <c r="AP131" s="1650"/>
      <c r="AQ131" s="1650"/>
      <c r="AR131" s="1375"/>
      <c r="AT131" s="1375"/>
      <c r="AU131" s="1645"/>
      <c r="AV131" s="1645"/>
      <c r="AW131" s="1375"/>
      <c r="AX131" s="1375"/>
      <c r="AY131" s="1375"/>
      <c r="AZ131" s="1375"/>
      <c r="BA131" s="1645"/>
      <c r="BB131" s="1375"/>
      <c r="BC131" s="1375"/>
      <c r="BD131" s="553"/>
      <c r="BE131" s="1375"/>
      <c r="BF131" s="1375"/>
      <c r="BG131" s="1375"/>
      <c r="BH131" s="1375"/>
      <c r="BI131" s="1375"/>
      <c r="BJ131" s="1641"/>
      <c r="BK131" s="631"/>
      <c r="BL131" s="631"/>
      <c r="BM131" s="631"/>
      <c r="BN131" s="631"/>
      <c r="BO131" s="1650">
        <v>11</v>
      </c>
    </row>
    <row s="1650" customFormat="1" customHeight="1" ht="11.549999999999999">
      <c r="A132" s="996"/>
      <c r="B132" s="996"/>
      <c r="C132" s="996"/>
      <c r="D132" s="996"/>
      <c r="E132" s="996"/>
      <c r="F132" s="1645"/>
      <c r="G132" s="1645"/>
      <c r="H132" s="360"/>
      <c r="N132" s="1650"/>
      <c r="O132" s="1650"/>
      <c r="P132" s="1650"/>
      <c r="Q132" s="1650"/>
      <c r="R132" s="1650"/>
      <c r="S132" s="1650"/>
      <c r="T132" s="1650"/>
      <c r="U132" s="1650"/>
      <c r="V132" s="1650"/>
      <c r="W132" s="1650"/>
      <c r="X132" s="1650"/>
      <c r="Y132" s="1650"/>
      <c r="Z132" s="1650"/>
      <c r="AA132" s="1650"/>
      <c r="AB132" s="1650"/>
      <c r="AC132" s="1650"/>
      <c r="AD132" s="1650"/>
      <c r="AE132" s="1650"/>
      <c r="AF132" s="1650"/>
      <c r="AG132" s="1650"/>
      <c r="AH132" s="1650"/>
      <c r="AI132" s="1650"/>
      <c r="AJ132" s="1650"/>
      <c r="AK132" s="1650"/>
      <c r="AL132" s="1650"/>
      <c r="AM132" s="1650"/>
      <c r="AN132" s="1650"/>
      <c r="AO132" s="1650"/>
      <c r="AP132" s="1650"/>
      <c r="AQ132" s="1650"/>
      <c r="AR132" s="1375"/>
      <c r="AT132" s="1375"/>
      <c r="AU132" s="1645"/>
      <c r="AV132" s="1645"/>
      <c r="AW132" s="1375"/>
      <c r="AX132" s="1375"/>
      <c r="AY132" s="1375"/>
      <c r="AZ132" s="1375"/>
      <c r="BA132" s="1645"/>
      <c r="BB132" s="1375"/>
      <c r="BC132" s="1375"/>
      <c r="BD132" s="553"/>
      <c r="BE132" s="1375"/>
      <c r="BF132" s="1375"/>
      <c r="BG132" s="1375"/>
      <c r="BH132" s="1375"/>
      <c r="BI132" s="1375"/>
      <c r="BJ132" s="1641"/>
      <c r="BK132" s="631"/>
      <c r="BL132" s="631"/>
      <c r="BM132" s="631"/>
      <c r="BN132" s="631"/>
      <c r="BO132" s="1650">
        <v>11</v>
      </c>
    </row>
    <row s="1650" customFormat="1" customHeight="1" ht="11.549999999999999">
      <c r="A133" s="996"/>
      <c r="B133" s="996"/>
      <c r="C133" s="996"/>
      <c r="D133" s="996"/>
      <c r="E133" s="996"/>
      <c r="F133" s="1645"/>
      <c r="G133" s="1645"/>
      <c r="H133" s="360"/>
      <c r="N133" s="1650"/>
      <c r="O133" s="1650"/>
      <c r="P133" s="1650"/>
      <c r="Q133" s="1650"/>
      <c r="R133" s="1650"/>
      <c r="S133" s="1650"/>
      <c r="T133" s="1650"/>
      <c r="U133" s="1650"/>
      <c r="V133" s="1650"/>
      <c r="W133" s="1650"/>
      <c r="X133" s="1650"/>
      <c r="Y133" s="1650"/>
      <c r="Z133" s="1650"/>
      <c r="AA133" s="1650"/>
      <c r="AB133" s="1650"/>
      <c r="AC133" s="1650"/>
      <c r="AD133" s="1650"/>
      <c r="AE133" s="1650"/>
      <c r="AF133" s="1650"/>
      <c r="AG133" s="1650"/>
      <c r="AH133" s="1650"/>
      <c r="AI133" s="1650"/>
      <c r="AJ133" s="1650"/>
      <c r="AK133" s="1650"/>
      <c r="AL133" s="1650"/>
      <c r="AM133" s="1650"/>
      <c r="AN133" s="1650"/>
      <c r="AO133" s="1650"/>
      <c r="AP133" s="1650"/>
      <c r="AQ133" s="1650"/>
      <c r="AR133" s="1375"/>
      <c r="AT133" s="1375"/>
      <c r="AU133" s="1645"/>
      <c r="AV133" s="1645"/>
      <c r="AW133" s="1375"/>
      <c r="AX133" s="1375"/>
      <c r="AY133" s="1375"/>
      <c r="AZ133" s="1375"/>
      <c r="BA133" s="1645"/>
      <c r="BB133" s="1375"/>
      <c r="BC133" s="1375"/>
      <c r="BD133" s="553"/>
      <c r="BE133" s="1375"/>
      <c r="BF133" s="1375"/>
      <c r="BG133" s="1375"/>
      <c r="BH133" s="1375"/>
      <c r="BI133" s="1375"/>
      <c r="BJ133" s="1641"/>
      <c r="BK133" s="631"/>
      <c r="BL133" s="631"/>
      <c r="BM133" s="631"/>
      <c r="BN133" s="631"/>
      <c r="BO133" s="1650">
        <v>11</v>
      </c>
    </row>
    <row s="1650" customFormat="1" customHeight="1" ht="11.549999999999999">
      <c r="A134" s="996"/>
      <c r="B134" s="996"/>
      <c r="C134" s="996"/>
      <c r="D134" s="996"/>
      <c r="E134" s="996"/>
      <c r="F134" s="1645"/>
      <c r="G134" s="1645"/>
      <c r="H134" s="36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N134" s="1650"/>
      <c r="AO134" s="1650"/>
      <c r="AP134" s="1650"/>
      <c r="AQ134" s="1650"/>
      <c r="AR134" s="1375"/>
      <c r="AT134" s="1375"/>
      <c r="AU134" s="1645"/>
      <c r="AV134" s="1645"/>
      <c r="AW134" s="1375"/>
      <c r="AX134" s="1375"/>
      <c r="AY134" s="1375"/>
      <c r="AZ134" s="1375"/>
      <c r="BA134" s="1645"/>
      <c r="BB134" s="1375"/>
      <c r="BC134" s="1375"/>
      <c r="BD134" s="553"/>
      <c r="BE134" s="1375"/>
      <c r="BF134" s="1375"/>
      <c r="BG134" s="1375"/>
      <c r="BH134" s="1375"/>
      <c r="BI134" s="1375"/>
      <c r="BJ134" s="1641"/>
      <c r="BK134" s="631"/>
      <c r="BL134" s="631"/>
      <c r="BM134" s="631"/>
      <c r="BN134" s="631"/>
      <c r="BO134" s="1650">
        <v>11</v>
      </c>
    </row>
    <row s="1650" customFormat="1" customHeight="1" ht="11.549999999999999">
      <c r="A135" s="996"/>
      <c r="B135" s="996"/>
      <c r="C135" s="996"/>
      <c r="D135" s="996"/>
      <c r="E135" s="996"/>
      <c r="F135" s="1645"/>
      <c r="G135" s="1645"/>
      <c r="H135" s="36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N135" s="1650"/>
      <c r="AO135" s="1650"/>
      <c r="AP135" s="1650"/>
      <c r="AQ135" s="1650"/>
      <c r="AR135" s="1375"/>
      <c r="AT135" s="1375"/>
      <c r="AU135" s="1645"/>
      <c r="AV135" s="1645"/>
      <c r="AW135" s="1375"/>
      <c r="AX135" s="1375"/>
      <c r="AY135" s="1375"/>
      <c r="AZ135" s="1375"/>
      <c r="BA135" s="1645"/>
      <c r="BB135" s="1375"/>
      <c r="BC135" s="1375"/>
      <c r="BD135" s="553"/>
      <c r="BE135" s="1375"/>
      <c r="BF135" s="1375"/>
      <c r="BG135" s="1375"/>
      <c r="BH135" s="1375"/>
      <c r="BI135" s="1375"/>
      <c r="BJ135" s="1641"/>
      <c r="BK135" s="631"/>
      <c r="BL135" s="631"/>
      <c r="BM135" s="631"/>
      <c r="BN135" s="631"/>
      <c r="BO135" s="1650">
        <v>11</v>
      </c>
    </row>
    <row s="1650" customFormat="1" customHeight="1" ht="11.549999999999999">
      <c r="A136" s="996"/>
      <c r="B136" s="996"/>
      <c r="C136" s="996"/>
      <c r="D136" s="996"/>
      <c r="E136" s="996"/>
      <c r="F136" s="1645"/>
      <c r="G136" s="1645"/>
      <c r="H136" s="360"/>
      <c r="N136" s="1650"/>
      <c r="O136" s="1650"/>
      <c r="P136" s="1650"/>
      <c r="Q136" s="1650"/>
      <c r="R136" s="1650"/>
      <c r="S136" s="1650"/>
      <c r="T136" s="1650"/>
      <c r="U136" s="1650"/>
      <c r="V136" s="1650"/>
      <c r="W136" s="1650"/>
      <c r="X136" s="1650"/>
      <c r="Y136" s="1650"/>
      <c r="Z136" s="1650"/>
      <c r="AA136" s="1650"/>
      <c r="AB136" s="1650"/>
      <c r="AC136" s="1650"/>
      <c r="AD136" s="1650"/>
      <c r="AE136" s="1650"/>
      <c r="AF136" s="1650"/>
      <c r="AG136" s="1650"/>
      <c r="AH136" s="1650"/>
      <c r="AI136" s="1650"/>
      <c r="AJ136" s="1650"/>
      <c r="AK136" s="1650"/>
      <c r="AL136" s="1650"/>
      <c r="AM136" s="1650"/>
      <c r="AN136" s="1650"/>
      <c r="AO136" s="1650"/>
      <c r="AP136" s="1650"/>
      <c r="AQ136" s="1650"/>
      <c r="AR136" s="1375"/>
      <c r="AT136" s="1375"/>
      <c r="AU136" s="1645"/>
      <c r="AV136" s="1645"/>
      <c r="AW136" s="1375"/>
      <c r="AX136" s="1375"/>
      <c r="AY136" s="1375"/>
      <c r="AZ136" s="1375"/>
      <c r="BA136" s="1645"/>
      <c r="BB136" s="1375"/>
      <c r="BC136" s="1375"/>
      <c r="BD136" s="553"/>
      <c r="BE136" s="1375"/>
      <c r="BF136" s="1375"/>
      <c r="BG136" s="1375"/>
      <c r="BH136" s="1375"/>
      <c r="BI136" s="1375"/>
      <c r="BJ136" s="1641"/>
      <c r="BK136" s="631"/>
      <c r="BL136" s="631"/>
      <c r="BM136" s="631"/>
      <c r="BN136" s="631"/>
      <c r="BO136" s="1650">
        <v>11</v>
      </c>
    </row>
    <row s="1650" customFormat="1" customHeight="1" ht="11.549999999999999">
      <c r="A137" s="996"/>
      <c r="B137" s="996"/>
      <c r="C137" s="996"/>
      <c r="D137" s="996"/>
      <c r="E137" s="996"/>
      <c r="F137" s="1645"/>
      <c r="G137" s="1645"/>
      <c r="H137" s="36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N137" s="1650"/>
      <c r="AO137" s="1650"/>
      <c r="AP137" s="1650"/>
      <c r="AQ137" s="1650"/>
      <c r="AR137" s="1375"/>
      <c r="AT137" s="1375"/>
      <c r="AU137" s="1645"/>
      <c r="AV137" s="1645"/>
      <c r="AW137" s="1375"/>
      <c r="AX137" s="1375"/>
      <c r="AY137" s="1375"/>
      <c r="AZ137" s="1375"/>
      <c r="BA137" s="1645"/>
      <c r="BB137" s="1375"/>
      <c r="BC137" s="1375"/>
      <c r="BD137" s="553"/>
      <c r="BE137" s="1375"/>
      <c r="BF137" s="1375"/>
      <c r="BG137" s="1375"/>
      <c r="BH137" s="1375"/>
      <c r="BI137" s="1375"/>
      <c r="BJ137" s="1641"/>
      <c r="BK137" s="631"/>
      <c r="BL137" s="631"/>
      <c r="BM137" s="631"/>
      <c r="BN137" s="631"/>
      <c r="BO137" s="1650">
        <v>11</v>
      </c>
    </row>
    <row s="1650" customFormat="1" customHeight="1" ht="11.549999999999999">
      <c r="A138" s="996"/>
      <c r="B138" s="996"/>
      <c r="C138" s="996"/>
      <c r="D138" s="996"/>
      <c r="E138" s="996"/>
      <c r="F138" s="1645"/>
      <c r="G138" s="1645"/>
      <c r="H138" s="36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N138" s="1650"/>
      <c r="AO138" s="1650"/>
      <c r="AP138" s="1650"/>
      <c r="AQ138" s="1650"/>
      <c r="AR138" s="1375"/>
      <c r="AT138" s="1375"/>
      <c r="AU138" s="1645"/>
      <c r="AV138" s="1645"/>
      <c r="AW138" s="1375"/>
      <c r="AX138" s="1375"/>
      <c r="AY138" s="1375"/>
      <c r="AZ138" s="1375"/>
      <c r="BA138" s="1645"/>
      <c r="BB138" s="1375"/>
      <c r="BC138" s="1375"/>
      <c r="BD138" s="553"/>
      <c r="BE138" s="1375"/>
      <c r="BF138" s="1375"/>
      <c r="BG138" s="1375"/>
      <c r="BH138" s="1375"/>
      <c r="BI138" s="1375"/>
      <c r="BJ138" s="1641"/>
      <c r="BK138" s="631"/>
      <c r="BL138" s="631"/>
      <c r="BM138" s="631"/>
      <c r="BN138" s="631"/>
      <c r="BO138" s="1650">
        <v>11</v>
      </c>
    </row>
    <row s="1650" customFormat="1" customHeight="1" ht="11.549999999999999">
      <c r="A139" s="996"/>
      <c r="B139" s="996"/>
      <c r="C139" s="996"/>
      <c r="D139" s="996"/>
      <c r="E139" s="996"/>
      <c r="F139" s="1645"/>
      <c r="G139" s="1645"/>
      <c r="H139" s="36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N139" s="1650"/>
      <c r="AO139" s="1650"/>
      <c r="AP139" s="1650"/>
      <c r="AQ139" s="1650"/>
      <c r="AR139" s="1375"/>
      <c r="AT139" s="1375"/>
      <c r="AU139" s="1645"/>
      <c r="AV139" s="1645"/>
      <c r="AW139" s="1375"/>
      <c r="AX139" s="1375"/>
      <c r="AY139" s="1375"/>
      <c r="AZ139" s="1375"/>
      <c r="BA139" s="1645"/>
      <c r="BB139" s="1375"/>
      <c r="BC139" s="1375"/>
      <c r="BD139" s="553"/>
      <c r="BE139" s="1375"/>
      <c r="BF139" s="1375"/>
      <c r="BG139" s="1375"/>
      <c r="BH139" s="1375"/>
      <c r="BI139" s="1375"/>
      <c r="BJ139" s="1641"/>
      <c r="BK139" s="631"/>
      <c r="BL139" s="631"/>
      <c r="BM139" s="631"/>
      <c r="BN139" s="631"/>
      <c r="BO139" s="1650">
        <v>11</v>
      </c>
    </row>
    <row s="1650" customFormat="1" customHeight="1" ht="11.549999999999999">
      <c r="A140" s="996"/>
      <c r="B140" s="996"/>
      <c r="C140" s="996"/>
      <c r="D140" s="996"/>
      <c r="E140" s="996"/>
      <c r="F140" s="1645"/>
      <c r="G140" s="1645"/>
      <c r="H140" s="36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N140" s="1650"/>
      <c r="AO140" s="1650"/>
      <c r="AP140" s="1650"/>
      <c r="AQ140" s="1650"/>
      <c r="AR140" s="1375"/>
      <c r="AT140" s="1375"/>
      <c r="AU140" s="1645"/>
      <c r="AV140" s="1645"/>
      <c r="AW140" s="1375"/>
      <c r="AX140" s="1375"/>
      <c r="AY140" s="1375"/>
      <c r="AZ140" s="1375"/>
      <c r="BA140" s="1645"/>
      <c r="BB140" s="1375"/>
      <c r="BC140" s="1375"/>
      <c r="BD140" s="553"/>
      <c r="BE140" s="1375"/>
      <c r="BF140" s="1375"/>
      <c r="BG140" s="1375"/>
      <c r="BH140" s="1375"/>
      <c r="BI140" s="1375"/>
      <c r="BJ140" s="1641"/>
      <c r="BK140" s="631"/>
      <c r="BL140" s="631"/>
      <c r="BM140" s="631"/>
      <c r="BN140" s="631"/>
      <c r="BO140" s="1650">
        <v>11</v>
      </c>
    </row>
    <row s="1650" customFormat="1" customHeight="1" ht="11.549999999999999">
      <c r="A141" s="996"/>
      <c r="B141" s="996"/>
      <c r="C141" s="996"/>
      <c r="D141" s="996"/>
      <c r="E141" s="996"/>
      <c r="F141" s="1645"/>
      <c r="G141" s="1645"/>
      <c r="H141" s="36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N141" s="1650"/>
      <c r="AO141" s="1650"/>
      <c r="AP141" s="1650"/>
      <c r="AQ141" s="1650"/>
      <c r="AR141" s="1375"/>
      <c r="AT141" s="1375"/>
      <c r="AU141" s="1645"/>
      <c r="AV141" s="1645"/>
      <c r="AW141" s="1375"/>
      <c r="AX141" s="1375"/>
      <c r="AY141" s="1375"/>
      <c r="AZ141" s="1375"/>
      <c r="BA141" s="1645"/>
      <c r="BB141" s="1375"/>
      <c r="BC141" s="1375"/>
      <c r="BD141" s="553"/>
      <c r="BE141" s="1375"/>
      <c r="BF141" s="1375"/>
      <c r="BG141" s="1375"/>
      <c r="BH141" s="1375"/>
      <c r="BI141" s="1375"/>
      <c r="BJ141" s="1641"/>
      <c r="BK141" s="631"/>
      <c r="BL141" s="631"/>
      <c r="BM141" s="631"/>
      <c r="BN141" s="631"/>
      <c r="BO141" s="1650">
        <v>11</v>
      </c>
    </row>
    <row s="1650" customFormat="1" customHeight="1" ht="11.549999999999999">
      <c r="A142" s="996"/>
      <c r="B142" s="996"/>
      <c r="C142" s="996"/>
      <c r="D142" s="996"/>
      <c r="E142" s="996"/>
      <c r="F142" s="1645"/>
      <c r="G142" s="1645"/>
      <c r="H142" s="36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N142" s="1650"/>
      <c r="AO142" s="1650"/>
      <c r="AP142" s="1650"/>
      <c r="AQ142" s="1650"/>
      <c r="AR142" s="1375"/>
      <c r="AT142" s="1375"/>
      <c r="AU142" s="1645"/>
      <c r="AV142" s="1645"/>
      <c r="AW142" s="1375"/>
      <c r="AX142" s="1375"/>
      <c r="AY142" s="1375"/>
      <c r="AZ142" s="1375"/>
      <c r="BA142" s="1645"/>
      <c r="BB142" s="1375"/>
      <c r="BC142" s="1375"/>
      <c r="BD142" s="553"/>
      <c r="BE142" s="1375"/>
      <c r="BF142" s="1375"/>
      <c r="BG142" s="1375"/>
      <c r="BH142" s="1375"/>
      <c r="BI142" s="1375"/>
      <c r="BJ142" s="1641"/>
      <c r="BK142" s="631"/>
      <c r="BL142" s="631"/>
      <c r="BM142" s="631"/>
      <c r="BN142" s="631"/>
      <c r="BO142" s="1650">
        <v>11</v>
      </c>
    </row>
    <row s="1650" customFormat="1" customHeight="1" ht="11.549999999999999">
      <c r="A143" s="996"/>
      <c r="B143" s="996"/>
      <c r="C143" s="996"/>
      <c r="D143" s="996"/>
      <c r="E143" s="996"/>
      <c r="F143" s="1645"/>
      <c r="G143" s="1645"/>
      <c r="H143" s="36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N143" s="1650"/>
      <c r="AO143" s="1650"/>
      <c r="AP143" s="1650"/>
      <c r="AQ143" s="1650"/>
      <c r="AR143" s="1375"/>
      <c r="AT143" s="1375"/>
      <c r="AU143" s="1645"/>
      <c r="AV143" s="1645"/>
      <c r="AW143" s="1375"/>
      <c r="AX143" s="1375"/>
      <c r="AY143" s="1375"/>
      <c r="AZ143" s="1375"/>
      <c r="BA143" s="1645"/>
      <c r="BB143" s="1375"/>
      <c r="BC143" s="1375"/>
      <c r="BD143" s="553"/>
      <c r="BE143" s="1375"/>
      <c r="BF143" s="1375"/>
      <c r="BG143" s="1375"/>
      <c r="BH143" s="1375"/>
      <c r="BI143" s="1375"/>
      <c r="BJ143" s="1641"/>
      <c r="BK143" s="631"/>
      <c r="BL143" s="631"/>
      <c r="BM143" s="631"/>
      <c r="BN143" s="631"/>
      <c r="BO143" s="1650">
        <v>11</v>
      </c>
    </row>
    <row s="1650" customFormat="1" customHeight="1" ht="11.549999999999999">
      <c r="A144" s="996"/>
      <c r="B144" s="996"/>
      <c r="C144" s="996"/>
      <c r="D144" s="996"/>
      <c r="E144" s="996"/>
      <c r="F144" s="1645"/>
      <c r="G144" s="1645"/>
      <c r="H144" s="36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N144" s="1650"/>
      <c r="AO144" s="1650"/>
      <c r="AP144" s="1650"/>
      <c r="AQ144" s="1650"/>
      <c r="AR144" s="1375"/>
      <c r="AT144" s="1375"/>
      <c r="AU144" s="1645"/>
      <c r="AV144" s="1645"/>
      <c r="AW144" s="1375"/>
      <c r="AX144" s="1375"/>
      <c r="AY144" s="1375"/>
      <c r="AZ144" s="1375"/>
      <c r="BA144" s="1645"/>
      <c r="BB144" s="1375"/>
      <c r="BC144" s="1375"/>
      <c r="BD144" s="553"/>
      <c r="BE144" s="1375"/>
      <c r="BF144" s="1375"/>
      <c r="BG144" s="1375"/>
      <c r="BH144" s="1375"/>
      <c r="BI144" s="1375"/>
      <c r="BJ144" s="1641"/>
      <c r="BK144" s="631"/>
      <c r="BL144" s="631"/>
      <c r="BM144" s="631"/>
      <c r="BN144" s="631"/>
      <c r="BO144" s="1650">
        <v>11</v>
      </c>
    </row>
    <row s="1650" customFormat="1" customHeight="1" ht="11.549999999999999">
      <c r="A145" s="996"/>
      <c r="B145" s="996"/>
      <c r="C145" s="996"/>
      <c r="D145" s="996"/>
      <c r="E145" s="996"/>
      <c r="F145" s="1645"/>
      <c r="G145" s="1645"/>
      <c r="H145" s="36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N145" s="1650"/>
      <c r="AO145" s="1650"/>
      <c r="AP145" s="1650"/>
      <c r="AQ145" s="1650"/>
      <c r="AR145" s="1375"/>
      <c r="AT145" s="1375"/>
      <c r="AU145" s="1645"/>
      <c r="AV145" s="1645"/>
      <c r="AW145" s="1375"/>
      <c r="AX145" s="1375"/>
      <c r="AY145" s="1375"/>
      <c r="AZ145" s="1375"/>
      <c r="BA145" s="1645"/>
      <c r="BB145" s="1375"/>
      <c r="BC145" s="1375"/>
      <c r="BD145" s="553"/>
      <c r="BE145" s="1375"/>
      <c r="BF145" s="1375"/>
      <c r="BG145" s="1375"/>
      <c r="BH145" s="1375"/>
      <c r="BI145" s="1375"/>
      <c r="BJ145" s="1641"/>
      <c r="BK145" s="631"/>
      <c r="BL145" s="631"/>
      <c r="BM145" s="631"/>
      <c r="BN145" s="631"/>
      <c r="BO145" s="1650">
        <v>11</v>
      </c>
    </row>
    <row s="1650" customFormat="1" customHeight="1" ht="11.549999999999999">
      <c r="A146" s="996"/>
      <c r="B146" s="996"/>
      <c r="C146" s="996"/>
      <c r="D146" s="996"/>
      <c r="E146" s="996"/>
      <c r="F146" s="1645"/>
      <c r="G146" s="1645"/>
      <c r="H146" s="36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N146" s="1650"/>
      <c r="AO146" s="1650"/>
      <c r="AP146" s="1650"/>
      <c r="AQ146" s="1650"/>
      <c r="AR146" s="1375"/>
      <c r="AT146" s="1375"/>
      <c r="AU146" s="1645"/>
      <c r="AV146" s="1645"/>
      <c r="AW146" s="1375"/>
      <c r="AX146" s="1375"/>
      <c r="AY146" s="1375"/>
      <c r="AZ146" s="1375"/>
      <c r="BA146" s="1645"/>
      <c r="BB146" s="1375"/>
      <c r="BC146" s="1375"/>
      <c r="BD146" s="553"/>
      <c r="BE146" s="1375"/>
      <c r="BF146" s="1375"/>
      <c r="BG146" s="1375"/>
      <c r="BH146" s="1375"/>
      <c r="BI146" s="1375"/>
      <c r="BJ146" s="1641"/>
      <c r="BK146" s="631"/>
      <c r="BL146" s="631"/>
      <c r="BM146" s="631"/>
      <c r="BN146" s="631"/>
      <c r="BO146" s="1650">
        <v>11</v>
      </c>
    </row>
    <row s="1650" customFormat="1" customHeight="1" ht="11.549999999999999">
      <c r="A147" s="996"/>
      <c r="B147" s="996"/>
      <c r="C147" s="996"/>
      <c r="D147" s="996"/>
      <c r="E147" s="996"/>
      <c r="F147" s="1645"/>
      <c r="G147" s="1645"/>
      <c r="H147" s="36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N147" s="1650"/>
      <c r="AO147" s="1650"/>
      <c r="AP147" s="1650"/>
      <c r="AQ147" s="1650"/>
      <c r="AR147" s="1375"/>
      <c r="AT147" s="1375"/>
      <c r="AU147" s="1645"/>
      <c r="AV147" s="1645"/>
      <c r="AW147" s="1375"/>
      <c r="AX147" s="1375"/>
      <c r="AY147" s="1375"/>
      <c r="AZ147" s="1375"/>
      <c r="BA147" s="1645"/>
      <c r="BB147" s="1375"/>
      <c r="BC147" s="1375"/>
      <c r="BD147" s="553"/>
      <c r="BE147" s="1375"/>
      <c r="BF147" s="1375"/>
      <c r="BG147" s="1375"/>
      <c r="BH147" s="1375"/>
      <c r="BI147" s="1375"/>
      <c r="BJ147" s="1641"/>
      <c r="BK147" s="631"/>
      <c r="BL147" s="631"/>
      <c r="BM147" s="631"/>
      <c r="BN147" s="631"/>
      <c r="BO147" s="1650">
        <v>11</v>
      </c>
    </row>
    <row s="1650" customFormat="1" customHeight="1" ht="11.549999999999999">
      <c r="A148" s="996"/>
      <c r="B148" s="996"/>
      <c r="C148" s="996"/>
      <c r="D148" s="996"/>
      <c r="E148" s="996"/>
      <c r="F148" s="1645"/>
      <c r="G148" s="1645"/>
      <c r="H148" s="36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N148" s="1650"/>
      <c r="AO148" s="1650"/>
      <c r="AP148" s="1650"/>
      <c r="AQ148" s="1650"/>
      <c r="AR148" s="1375"/>
      <c r="AT148" s="1375"/>
      <c r="AU148" s="1645"/>
      <c r="AV148" s="1645"/>
      <c r="AW148" s="1375"/>
      <c r="AX148" s="1375"/>
      <c r="AY148" s="1375"/>
      <c r="AZ148" s="1375"/>
      <c r="BA148" s="1645"/>
      <c r="BB148" s="1375"/>
      <c r="BC148" s="1375"/>
      <c r="BD148" s="553"/>
      <c r="BE148" s="1375"/>
      <c r="BF148" s="1375"/>
      <c r="BG148" s="1375"/>
      <c r="BH148" s="1375"/>
      <c r="BI148" s="1375"/>
      <c r="BJ148" s="1641"/>
      <c r="BK148" s="631"/>
      <c r="BL148" s="631"/>
      <c r="BM148" s="631"/>
      <c r="BN148" s="631"/>
      <c r="BO148" s="1650">
        <v>11</v>
      </c>
    </row>
    <row s="1650" customFormat="1" customHeight="1" ht="11.549999999999999">
      <c r="A149" s="996"/>
      <c r="B149" s="996"/>
      <c r="C149" s="996"/>
      <c r="D149" s="996"/>
      <c r="E149" s="996"/>
      <c r="F149" s="1645"/>
      <c r="G149" s="1645"/>
      <c r="H149" s="36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N149" s="1650"/>
      <c r="AO149" s="1650"/>
      <c r="AP149" s="1650"/>
      <c r="AQ149" s="1650"/>
      <c r="AR149" s="1375"/>
      <c r="AT149" s="1375"/>
      <c r="AU149" s="1645"/>
      <c r="AV149" s="1645"/>
      <c r="AW149" s="1375"/>
      <c r="AX149" s="1375"/>
      <c r="AY149" s="1375"/>
      <c r="AZ149" s="1375"/>
      <c r="BA149" s="1645"/>
      <c r="BB149" s="1375"/>
      <c r="BC149" s="1375"/>
      <c r="BD149" s="553"/>
      <c r="BE149" s="1375"/>
      <c r="BF149" s="1375"/>
      <c r="BG149" s="1375"/>
      <c r="BH149" s="1375"/>
      <c r="BI149" s="1375"/>
      <c r="BJ149" s="1641"/>
      <c r="BK149" s="631"/>
      <c r="BL149" s="631"/>
      <c r="BM149" s="631"/>
      <c r="BN149" s="631"/>
      <c r="BO149" s="1650">
        <v>11</v>
      </c>
    </row>
    <row s="1650" customFormat="1" customHeight="1" ht="11.549999999999999">
      <c r="A150" s="996"/>
      <c r="B150" s="996"/>
      <c r="C150" s="996"/>
      <c r="D150" s="996"/>
      <c r="E150" s="996"/>
      <c r="F150" s="1645"/>
      <c r="G150" s="1645"/>
      <c r="H150" s="36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N150" s="1650"/>
      <c r="AO150" s="1650"/>
      <c r="AP150" s="1650"/>
      <c r="AQ150" s="1650"/>
      <c r="AR150" s="1375"/>
      <c r="AT150" s="1375"/>
      <c r="AU150" s="1645"/>
      <c r="AV150" s="1645"/>
      <c r="AW150" s="1375"/>
      <c r="AX150" s="1375"/>
      <c r="AY150" s="1375"/>
      <c r="AZ150" s="1375"/>
      <c r="BA150" s="1645"/>
      <c r="BB150" s="1375"/>
      <c r="BC150" s="1375"/>
      <c r="BD150" s="553"/>
      <c r="BE150" s="1375"/>
      <c r="BF150" s="1375"/>
      <c r="BG150" s="1375"/>
      <c r="BH150" s="1375"/>
      <c r="BI150" s="1375"/>
      <c r="BJ150" s="1641"/>
      <c r="BK150" s="631"/>
      <c r="BL150" s="631"/>
      <c r="BM150" s="631"/>
      <c r="BN150" s="631"/>
      <c r="BO150" s="1650">
        <v>11</v>
      </c>
    </row>
    <row s="1650" customFormat="1" customHeight="1" ht="11.549999999999999">
      <c r="A151" s="996"/>
      <c r="B151" s="996"/>
      <c r="C151" s="996"/>
      <c r="D151" s="996"/>
      <c r="E151" s="996"/>
      <c r="F151" s="1645"/>
      <c r="G151" s="1645"/>
      <c r="H151" s="36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N151" s="1650"/>
      <c r="AO151" s="1650"/>
      <c r="AP151" s="1650"/>
      <c r="AQ151" s="1650"/>
      <c r="AR151" s="1375"/>
      <c r="AT151" s="1375"/>
      <c r="AU151" s="1645"/>
      <c r="AV151" s="1645"/>
      <c r="AW151" s="1375"/>
      <c r="AX151" s="1375"/>
      <c r="AY151" s="1375"/>
      <c r="AZ151" s="1375"/>
      <c r="BA151" s="1645"/>
      <c r="BB151" s="1375"/>
      <c r="BC151" s="1375"/>
      <c r="BD151" s="553"/>
      <c r="BE151" s="1375"/>
      <c r="BF151" s="1375"/>
      <c r="BG151" s="1375"/>
      <c r="BH151" s="1375"/>
      <c r="BI151" s="1375"/>
      <c r="BJ151" s="1641"/>
      <c r="BK151" s="631"/>
      <c r="BL151" s="631"/>
      <c r="BM151" s="631"/>
      <c r="BN151" s="631"/>
      <c r="BO151" s="1650">
        <v>11</v>
      </c>
    </row>
    <row s="1650" customFormat="1" customHeight="1" ht="11.549999999999999">
      <c r="A152" s="996"/>
      <c r="B152" s="996"/>
      <c r="C152" s="996"/>
      <c r="D152" s="996"/>
      <c r="E152" s="996"/>
      <c r="F152" s="1645"/>
      <c r="G152" s="1645"/>
      <c r="H152" s="36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N152" s="1650"/>
      <c r="AO152" s="1650"/>
      <c r="AP152" s="1650"/>
      <c r="AQ152" s="1650"/>
      <c r="AR152" s="1375"/>
      <c r="AT152" s="1375"/>
      <c r="AU152" s="1645"/>
      <c r="AV152" s="1645"/>
      <c r="AW152" s="1375"/>
      <c r="AX152" s="1375"/>
      <c r="AY152" s="1375"/>
      <c r="AZ152" s="1375"/>
      <c r="BA152" s="1645"/>
      <c r="BB152" s="1375"/>
      <c r="BC152" s="1375"/>
      <c r="BD152" s="553"/>
      <c r="BE152" s="1375"/>
      <c r="BF152" s="1375"/>
      <c r="BG152" s="1375"/>
      <c r="BH152" s="1375"/>
      <c r="BI152" s="1375"/>
      <c r="BJ152" s="1641"/>
      <c r="BK152" s="631"/>
      <c r="BL152" s="631"/>
      <c r="BM152" s="631"/>
      <c r="BN152" s="631"/>
      <c r="BO152" s="1650">
        <v>11</v>
      </c>
    </row>
    <row s="1650" customFormat="1" customHeight="1" ht="11.549999999999999">
      <c r="A153" s="996"/>
      <c r="B153" s="996"/>
      <c r="C153" s="996"/>
      <c r="D153" s="996"/>
      <c r="E153" s="996"/>
      <c r="F153" s="1645"/>
      <c r="G153" s="1645"/>
      <c r="H153" s="36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N153" s="1650"/>
      <c r="AO153" s="1650"/>
      <c r="AP153" s="1650"/>
      <c r="AQ153" s="1650"/>
      <c r="AR153" s="1375"/>
      <c r="AT153" s="1375"/>
      <c r="AU153" s="1645"/>
      <c r="AV153" s="1645"/>
      <c r="AW153" s="1375"/>
      <c r="AX153" s="1375"/>
      <c r="AY153" s="1375"/>
      <c r="AZ153" s="1375"/>
      <c r="BA153" s="1645"/>
      <c r="BB153" s="1375"/>
      <c r="BC153" s="1375"/>
      <c r="BD153" s="553"/>
      <c r="BE153" s="1375"/>
      <c r="BF153" s="1375"/>
      <c r="BG153" s="1375"/>
      <c r="BH153" s="1375"/>
      <c r="BI153" s="1375"/>
      <c r="BJ153" s="1641"/>
      <c r="BK153" s="631"/>
      <c r="BL153" s="631"/>
      <c r="BM153" s="631"/>
      <c r="BN153" s="631"/>
      <c r="BO153" s="1650">
        <v>11</v>
      </c>
    </row>
    <row s="1650" customFormat="1" customHeight="1" ht="11.549999999999999">
      <c r="A154" s="996"/>
      <c r="B154" s="996"/>
      <c r="C154" s="996"/>
      <c r="D154" s="996"/>
      <c r="E154" s="996"/>
      <c r="F154" s="1645"/>
      <c r="G154" s="1645"/>
      <c r="H154" s="36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N154" s="1650"/>
      <c r="AO154" s="1650"/>
      <c r="AP154" s="1650"/>
      <c r="AQ154" s="1650"/>
      <c r="AR154" s="1375"/>
      <c r="AT154" s="1375"/>
      <c r="AU154" s="1645"/>
      <c r="AV154" s="1645"/>
      <c r="AW154" s="1375"/>
      <c r="AX154" s="1375"/>
      <c r="AY154" s="1375"/>
      <c r="AZ154" s="1375"/>
      <c r="BA154" s="1645"/>
      <c r="BB154" s="1375"/>
      <c r="BC154" s="1375"/>
      <c r="BD154" s="553"/>
      <c r="BE154" s="1375"/>
      <c r="BF154" s="1375"/>
      <c r="BG154" s="1375"/>
      <c r="BH154" s="1375"/>
      <c r="BI154" s="1375"/>
      <c r="BJ154" s="1641"/>
      <c r="BK154" s="631"/>
      <c r="BL154" s="631"/>
      <c r="BM154" s="631"/>
      <c r="BN154" s="631"/>
      <c r="BO154" s="1650">
        <v>11</v>
      </c>
    </row>
    <row s="1650" customFormat="1" customHeight="1" ht="11.549999999999999">
      <c r="A155" s="996"/>
      <c r="B155" s="996"/>
      <c r="C155" s="996"/>
      <c r="D155" s="996"/>
      <c r="E155" s="996"/>
      <c r="F155" s="1645"/>
      <c r="G155" s="1645"/>
      <c r="H155" s="36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N155" s="1650"/>
      <c r="AO155" s="1650"/>
      <c r="AP155" s="1650"/>
      <c r="AQ155" s="1650"/>
      <c r="AR155" s="1375"/>
      <c r="AT155" s="1375"/>
      <c r="AU155" s="1645"/>
      <c r="AV155" s="1645"/>
      <c r="AW155" s="1375"/>
      <c r="AX155" s="1375"/>
      <c r="AY155" s="1375"/>
      <c r="AZ155" s="1375"/>
      <c r="BA155" s="1645"/>
      <c r="BB155" s="1375"/>
      <c r="BC155" s="1375"/>
      <c r="BD155" s="553"/>
      <c r="BE155" s="1375"/>
      <c r="BF155" s="1375"/>
      <c r="BG155" s="1375"/>
      <c r="BH155" s="1375"/>
      <c r="BI155" s="1375"/>
      <c r="BJ155" s="1641"/>
      <c r="BK155" s="631"/>
      <c r="BL155" s="631"/>
      <c r="BM155" s="631"/>
      <c r="BN155" s="631"/>
      <c r="BO155" s="1650">
        <v>11</v>
      </c>
    </row>
    <row s="1650" customFormat="1" customHeight="1" ht="11.549999999999999">
      <c r="A156" s="996"/>
      <c r="B156" s="996"/>
      <c r="C156" s="996"/>
      <c r="D156" s="996"/>
      <c r="E156" s="996"/>
      <c r="F156" s="1645"/>
      <c r="G156" s="1645"/>
      <c r="H156" s="36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N156" s="1650"/>
      <c r="AO156" s="1650"/>
      <c r="AP156" s="1650"/>
      <c r="AQ156" s="1650"/>
      <c r="AR156" s="1375"/>
      <c r="AT156" s="1375"/>
      <c r="AU156" s="1645"/>
      <c r="AV156" s="1645"/>
      <c r="AW156" s="1375"/>
      <c r="AX156" s="1375"/>
      <c r="AY156" s="1375"/>
      <c r="AZ156" s="1375"/>
      <c r="BA156" s="1645"/>
      <c r="BB156" s="1375"/>
      <c r="BC156" s="1375"/>
      <c r="BD156" s="553"/>
      <c r="BE156" s="1375"/>
      <c r="BF156" s="1375"/>
      <c r="BG156" s="1375"/>
      <c r="BH156" s="1375"/>
      <c r="BI156" s="1375"/>
      <c r="BJ156" s="1641"/>
      <c r="BK156" s="631"/>
      <c r="BL156" s="631"/>
      <c r="BM156" s="631"/>
      <c r="BN156" s="631"/>
      <c r="BO156" s="1650">
        <v>11</v>
      </c>
    </row>
    <row s="1650" customFormat="1" customHeight="1" ht="11.549999999999999">
      <c r="A157" s="996"/>
      <c r="B157" s="996"/>
      <c r="C157" s="996"/>
      <c r="D157" s="996"/>
      <c r="E157" s="996"/>
      <c r="F157" s="1645"/>
      <c r="G157" s="1645"/>
      <c r="H157" s="36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N157" s="1650"/>
      <c r="AO157" s="1650"/>
      <c r="AP157" s="1650"/>
      <c r="AQ157" s="1650"/>
      <c r="AR157" s="1375"/>
      <c r="AT157" s="1375"/>
      <c r="AU157" s="1645"/>
      <c r="AV157" s="1645"/>
      <c r="AW157" s="1375"/>
      <c r="AX157" s="1375"/>
      <c r="AY157" s="1375"/>
      <c r="AZ157" s="1375"/>
      <c r="BA157" s="1645"/>
      <c r="BB157" s="1375"/>
      <c r="BC157" s="1375"/>
      <c r="BD157" s="553"/>
      <c r="BE157" s="1375"/>
      <c r="BF157" s="1375"/>
      <c r="BG157" s="1375"/>
      <c r="BH157" s="1375"/>
      <c r="BI157" s="1375"/>
      <c r="BJ157" s="1641"/>
      <c r="BK157" s="631"/>
      <c r="BL157" s="631"/>
      <c r="BM157" s="631"/>
      <c r="BN157" s="631"/>
      <c r="BO157" s="1650">
        <v>11</v>
      </c>
    </row>
    <row s="1650" customFormat="1" customHeight="1" ht="11.549999999999999">
      <c r="A158" s="996"/>
      <c r="B158" s="996"/>
      <c r="C158" s="996"/>
      <c r="D158" s="996"/>
      <c r="E158" s="996"/>
      <c r="F158" s="1645"/>
      <c r="G158" s="1645"/>
      <c r="H158" s="36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N158" s="1650"/>
      <c r="AO158" s="1650"/>
      <c r="AP158" s="1650"/>
      <c r="AQ158" s="1650"/>
      <c r="AR158" s="1375"/>
      <c r="AT158" s="1375"/>
      <c r="AU158" s="1645"/>
      <c r="AV158" s="1645"/>
      <c r="AW158" s="1375"/>
      <c r="AX158" s="1375"/>
      <c r="AY158" s="1375"/>
      <c r="AZ158" s="1375"/>
      <c r="BA158" s="1645"/>
      <c r="BB158" s="1375"/>
      <c r="BC158" s="1375"/>
      <c r="BD158" s="553"/>
      <c r="BE158" s="1375"/>
      <c r="BF158" s="1375"/>
      <c r="BG158" s="1375"/>
      <c r="BH158" s="1375"/>
      <c r="BI158" s="1375"/>
      <c r="BJ158" s="1641"/>
      <c r="BK158" s="631"/>
      <c r="BL158" s="631"/>
      <c r="BM158" s="631"/>
      <c r="BN158" s="631"/>
      <c r="BO158" s="1650">
        <v>11</v>
      </c>
    </row>
    <row s="1650" customFormat="1" customHeight="1" ht="11.549999999999999">
      <c r="A159" s="996"/>
      <c r="B159" s="996"/>
      <c r="C159" s="996"/>
      <c r="D159" s="996"/>
      <c r="E159" s="996"/>
      <c r="F159" s="1645"/>
      <c r="G159" s="1645"/>
      <c r="H159" s="36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N159" s="1650"/>
      <c r="AO159" s="1650"/>
      <c r="AP159" s="1650"/>
      <c r="AQ159" s="1650"/>
      <c r="AR159" s="1375"/>
      <c r="AT159" s="1375"/>
      <c r="AU159" s="1645"/>
      <c r="AV159" s="1645"/>
      <c r="AW159" s="1375"/>
      <c r="AX159" s="1375"/>
      <c r="AY159" s="1375"/>
      <c r="AZ159" s="1375"/>
      <c r="BA159" s="1645"/>
      <c r="BB159" s="1375"/>
      <c r="BC159" s="1375"/>
      <c r="BD159" s="553"/>
      <c r="BE159" s="1375"/>
      <c r="BF159" s="1375"/>
      <c r="BG159" s="1375"/>
      <c r="BH159" s="1375"/>
      <c r="BI159" s="1375"/>
      <c r="BJ159" s="1641"/>
      <c r="BK159" s="631"/>
      <c r="BL159" s="631"/>
      <c r="BM159" s="631"/>
      <c r="BN159" s="631"/>
      <c r="BO159" s="1650">
        <v>11</v>
      </c>
    </row>
    <row s="1650" customFormat="1" customHeight="1" ht="11.549999999999999">
      <c r="A160" s="996"/>
      <c r="B160" s="996"/>
      <c r="C160" s="996"/>
      <c r="D160" s="996"/>
      <c r="E160" s="996"/>
      <c r="F160" s="1645"/>
      <c r="G160" s="1645"/>
      <c r="H160" s="36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N160" s="1650"/>
      <c r="AO160" s="1650"/>
      <c r="AP160" s="1650"/>
      <c r="AQ160" s="1650"/>
      <c r="AR160" s="1375"/>
      <c r="AT160" s="1375"/>
      <c r="AU160" s="1645"/>
      <c r="AV160" s="1645"/>
      <c r="AW160" s="1375"/>
      <c r="AX160" s="1375"/>
      <c r="AY160" s="1375"/>
      <c r="AZ160" s="1375"/>
      <c r="BA160" s="1645"/>
      <c r="BB160" s="1375"/>
      <c r="BC160" s="1375"/>
      <c r="BD160" s="553"/>
      <c r="BE160" s="1375"/>
      <c r="BF160" s="1375"/>
      <c r="BG160" s="1375"/>
      <c r="BH160" s="1375"/>
      <c r="BI160" s="1375"/>
      <c r="BJ160" s="1641"/>
      <c r="BK160" s="631"/>
      <c r="BL160" s="631"/>
      <c r="BM160" s="631"/>
      <c r="BN160" s="631"/>
      <c r="BO160" s="1650">
        <v>11</v>
      </c>
    </row>
    <row s="1650" customFormat="1" customHeight="1" ht="11.549999999999999">
      <c r="A161" s="996"/>
      <c r="B161" s="996"/>
      <c r="C161" s="996"/>
      <c r="D161" s="996"/>
      <c r="E161" s="996"/>
      <c r="F161" s="1645"/>
      <c r="G161" s="1645"/>
      <c r="H161" s="36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N161" s="1650"/>
      <c r="AO161" s="1650"/>
      <c r="AP161" s="1650"/>
      <c r="AQ161" s="1650"/>
      <c r="AR161" s="1375"/>
      <c r="AT161" s="1375"/>
      <c r="AU161" s="1645"/>
      <c r="AV161" s="1645"/>
      <c r="AW161" s="1375"/>
      <c r="AX161" s="1375"/>
      <c r="AY161" s="1375"/>
      <c r="AZ161" s="1375"/>
      <c r="BA161" s="1645"/>
      <c r="BB161" s="1375"/>
      <c r="BC161" s="1375"/>
      <c r="BD161" s="553"/>
      <c r="BE161" s="1375"/>
      <c r="BF161" s="1375"/>
      <c r="BG161" s="1375"/>
      <c r="BH161" s="1375"/>
      <c r="BI161" s="1375"/>
      <c r="BJ161" s="1641"/>
      <c r="BK161" s="631"/>
      <c r="BL161" s="631"/>
      <c r="BM161" s="631"/>
      <c r="BN161" s="631"/>
      <c r="BO161" s="1650">
        <v>11</v>
      </c>
    </row>
    <row s="1650" customFormat="1" customHeight="1" ht="11.549999999999999">
      <c r="A162" s="996"/>
      <c r="B162" s="996"/>
      <c r="C162" s="996"/>
      <c r="D162" s="996"/>
      <c r="E162" s="996"/>
      <c r="F162" s="1645"/>
      <c r="G162" s="1645"/>
      <c r="H162" s="36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N162" s="1650"/>
      <c r="AO162" s="1650"/>
      <c r="AP162" s="1650"/>
      <c r="AQ162" s="1650"/>
      <c r="AR162" s="1375"/>
      <c r="AT162" s="1375"/>
      <c r="AU162" s="1645"/>
      <c r="AV162" s="1645"/>
      <c r="AW162" s="1375"/>
      <c r="AX162" s="1375"/>
      <c r="AY162" s="1375"/>
      <c r="AZ162" s="1375"/>
      <c r="BA162" s="1645"/>
      <c r="BB162" s="1375"/>
      <c r="BC162" s="1375"/>
      <c r="BD162" s="553"/>
      <c r="BE162" s="1375"/>
      <c r="BF162" s="1375"/>
      <c r="BG162" s="1375"/>
      <c r="BH162" s="1375"/>
      <c r="BI162" s="1375"/>
      <c r="BJ162" s="1641"/>
      <c r="BK162" s="631"/>
      <c r="BL162" s="631"/>
      <c r="BM162" s="631"/>
      <c r="BN162" s="631"/>
      <c r="BO162" s="1650">
        <v>11</v>
      </c>
    </row>
    <row s="1650" customFormat="1" customHeight="1" ht="11.549999999999999">
      <c r="A163" s="996"/>
      <c r="B163" s="996"/>
      <c r="C163" s="996"/>
      <c r="D163" s="996"/>
      <c r="E163" s="996"/>
      <c r="F163" s="1645"/>
      <c r="G163" s="1645"/>
      <c r="H163" s="36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N163" s="1650"/>
      <c r="AO163" s="1650"/>
      <c r="AP163" s="1650"/>
      <c r="AQ163" s="1650"/>
      <c r="AR163" s="1375"/>
      <c r="AT163" s="1375"/>
      <c r="AU163" s="1645"/>
      <c r="AV163" s="1645"/>
      <c r="AW163" s="1375"/>
      <c r="AX163" s="1375"/>
      <c r="AY163" s="1375"/>
      <c r="AZ163" s="1375"/>
      <c r="BA163" s="1645"/>
      <c r="BB163" s="1375"/>
      <c r="BC163" s="1375"/>
      <c r="BD163" s="553"/>
      <c r="BE163" s="1375"/>
      <c r="BF163" s="1375"/>
      <c r="BG163" s="1375"/>
      <c r="BH163" s="1375"/>
      <c r="BI163" s="1375"/>
      <c r="BJ163" s="1641"/>
      <c r="BK163" s="631"/>
      <c r="BL163" s="631"/>
      <c r="BM163" s="631"/>
      <c r="BN163" s="631"/>
      <c r="BO163" s="1650">
        <v>11</v>
      </c>
    </row>
    <row s="1650" customFormat="1" customHeight="1" ht="11.549999999999999">
      <c r="A164" s="996"/>
      <c r="B164" s="996"/>
      <c r="C164" s="996"/>
      <c r="D164" s="996"/>
      <c r="E164" s="996"/>
      <c r="F164" s="1645"/>
      <c r="G164" s="1645"/>
      <c r="H164" s="36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N164" s="1650"/>
      <c r="AO164" s="1650"/>
      <c r="AP164" s="1650"/>
      <c r="AQ164" s="1650"/>
      <c r="AR164" s="1375"/>
      <c r="AT164" s="1375"/>
      <c r="AU164" s="1645"/>
      <c r="AV164" s="1645"/>
      <c r="AW164" s="1375"/>
      <c r="AX164" s="1375"/>
      <c r="AY164" s="1375"/>
      <c r="AZ164" s="1375"/>
      <c r="BA164" s="1645"/>
      <c r="BB164" s="1375"/>
      <c r="BC164" s="1375"/>
      <c r="BD164" s="553"/>
      <c r="BE164" s="1375"/>
      <c r="BF164" s="1375"/>
      <c r="BG164" s="1375"/>
      <c r="BH164" s="1375"/>
      <c r="BI164" s="1375"/>
      <c r="BJ164" s="1641"/>
      <c r="BK164" s="631"/>
      <c r="BL164" s="631"/>
      <c r="BM164" s="631"/>
      <c r="BN164" s="631"/>
      <c r="BO164" s="1650">
        <v>11</v>
      </c>
    </row>
    <row s="1650" customFormat="1" customHeight="1" ht="11.549999999999999">
      <c r="A165" s="996"/>
      <c r="B165" s="996"/>
      <c r="C165" s="996"/>
      <c r="D165" s="996"/>
      <c r="E165" s="996"/>
      <c r="F165" s="1645"/>
      <c r="G165" s="1645"/>
      <c r="H165" s="36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N165" s="1650"/>
      <c r="AO165" s="1650"/>
      <c r="AP165" s="1650"/>
      <c r="AQ165" s="1650"/>
      <c r="AR165" s="1375"/>
      <c r="AT165" s="1375"/>
      <c r="AU165" s="1645"/>
      <c r="AV165" s="1645"/>
      <c r="AW165" s="1375"/>
      <c r="AX165" s="1375"/>
      <c r="AY165" s="1375"/>
      <c r="AZ165" s="1375"/>
      <c r="BA165" s="1645"/>
      <c r="BB165" s="1375"/>
      <c r="BC165" s="1375"/>
      <c r="BD165" s="553"/>
      <c r="BE165" s="1375"/>
      <c r="BF165" s="1375"/>
      <c r="BG165" s="1375"/>
      <c r="BH165" s="1375"/>
      <c r="BI165" s="1375"/>
      <c r="BJ165" s="1641"/>
      <c r="BK165" s="631"/>
      <c r="BL165" s="631"/>
      <c r="BM165" s="631"/>
      <c r="BN165" s="631"/>
      <c r="BO165" s="1650">
        <v>11</v>
      </c>
    </row>
    <row s="1650" customFormat="1" customHeight="1" ht="11.549999999999999">
      <c r="A166" s="996"/>
      <c r="B166" s="996"/>
      <c r="C166" s="996"/>
      <c r="D166" s="996"/>
      <c r="E166" s="996"/>
      <c r="F166" s="1645"/>
      <c r="G166" s="1645"/>
      <c r="H166" s="36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N166" s="1650"/>
      <c r="AO166" s="1650"/>
      <c r="AP166" s="1650"/>
      <c r="AQ166" s="1650"/>
      <c r="AR166" s="1375"/>
      <c r="AT166" s="1375"/>
      <c r="AU166" s="1645"/>
      <c r="AV166" s="1645"/>
      <c r="AW166" s="1375"/>
      <c r="AX166" s="1375"/>
      <c r="AY166" s="1375"/>
      <c r="AZ166" s="1375"/>
      <c r="BA166" s="1645"/>
      <c r="BB166" s="1375"/>
      <c r="BC166" s="1375"/>
      <c r="BD166" s="553"/>
      <c r="BE166" s="1375"/>
      <c r="BF166" s="1375"/>
      <c r="BG166" s="1375"/>
      <c r="BH166" s="1375"/>
      <c r="BI166" s="1375"/>
      <c r="BJ166" s="1641"/>
      <c r="BK166" s="631"/>
      <c r="BL166" s="631"/>
      <c r="BM166" s="631"/>
      <c r="BN166" s="631"/>
      <c r="BO166" s="1650">
        <v>11</v>
      </c>
    </row>
    <row s="1650" customFormat="1" customHeight="1" ht="11.549999999999999">
      <c r="A167" s="996"/>
      <c r="B167" s="996"/>
      <c r="C167" s="996"/>
      <c r="D167" s="996"/>
      <c r="E167" s="996"/>
      <c r="F167" s="1645"/>
      <c r="G167" s="1645"/>
      <c r="H167" s="36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N167" s="1650"/>
      <c r="AO167" s="1650"/>
      <c r="AP167" s="1650"/>
      <c r="AQ167" s="1650"/>
      <c r="AR167" s="1375"/>
      <c r="AT167" s="1375"/>
      <c r="AU167" s="1645"/>
      <c r="AV167" s="1645"/>
      <c r="AW167" s="1375"/>
      <c r="AX167" s="1375"/>
      <c r="AY167" s="1375"/>
      <c r="AZ167" s="1375"/>
      <c r="BA167" s="1645"/>
      <c r="BB167" s="1375"/>
      <c r="BC167" s="1375"/>
      <c r="BD167" s="553"/>
      <c r="BE167" s="1375"/>
      <c r="BF167" s="1375"/>
      <c r="BG167" s="1375"/>
      <c r="BH167" s="1375"/>
      <c r="BI167" s="1375"/>
      <c r="BJ167" s="1641"/>
      <c r="BK167" s="631"/>
      <c r="BL167" s="631"/>
      <c r="BM167" s="631"/>
      <c r="BN167" s="631"/>
      <c r="BO167" s="1650">
        <v>11</v>
      </c>
    </row>
    <row s="1650" customFormat="1" customHeight="1" ht="11.549999999999999">
      <c r="A168" s="996"/>
      <c r="B168" s="996"/>
      <c r="C168" s="996"/>
      <c r="D168" s="996"/>
      <c r="E168" s="996"/>
      <c r="F168" s="1645"/>
      <c r="G168" s="1645"/>
      <c r="H168" s="36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N168" s="1650"/>
      <c r="AO168" s="1650"/>
      <c r="AP168" s="1650"/>
      <c r="AQ168" s="1650"/>
      <c r="AR168" s="1375"/>
      <c r="AT168" s="1375"/>
      <c r="AU168" s="1645"/>
      <c r="AV168" s="1645"/>
      <c r="AW168" s="1375"/>
      <c r="AX168" s="1375"/>
      <c r="AY168" s="1375"/>
      <c r="AZ168" s="1375"/>
      <c r="BA168" s="1645"/>
      <c r="BB168" s="1375"/>
      <c r="BC168" s="1375"/>
      <c r="BD168" s="553"/>
      <c r="BE168" s="1375"/>
      <c r="BF168" s="1375"/>
      <c r="BG168" s="1375"/>
      <c r="BH168" s="1375"/>
      <c r="BI168" s="1375"/>
      <c r="BJ168" s="1641"/>
      <c r="BK168" s="631"/>
      <c r="BL168" s="631"/>
      <c r="BM168" s="631"/>
      <c r="BN168" s="631"/>
      <c r="BO168" s="1650">
        <v>11</v>
      </c>
    </row>
    <row s="1650" customFormat="1" customHeight="1" ht="11.549999999999999">
      <c r="A169" s="996"/>
      <c r="B169" s="996"/>
      <c r="C169" s="996"/>
      <c r="D169" s="996"/>
      <c r="E169" s="996"/>
      <c r="F169" s="1645"/>
      <c r="G169" s="1645"/>
      <c r="H169" s="36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N169" s="1650"/>
      <c r="AO169" s="1650"/>
      <c r="AP169" s="1650"/>
      <c r="AQ169" s="1650"/>
      <c r="AR169" s="1375"/>
      <c r="AT169" s="1375"/>
      <c r="AU169" s="1645"/>
      <c r="AV169" s="1645"/>
      <c r="AW169" s="1375"/>
      <c r="AX169" s="1375"/>
      <c r="AY169" s="1375"/>
      <c r="AZ169" s="1375"/>
      <c r="BA169" s="1645"/>
      <c r="BB169" s="1375"/>
      <c r="BC169" s="1375"/>
      <c r="BD169" s="553"/>
      <c r="BE169" s="1375"/>
      <c r="BF169" s="1375"/>
      <c r="BG169" s="1375"/>
      <c r="BH169" s="1375"/>
      <c r="BI169" s="1375"/>
      <c r="BJ169" s="1641"/>
      <c r="BK169" s="631"/>
      <c r="BL169" s="631"/>
      <c r="BM169" s="631"/>
      <c r="BN169" s="631"/>
      <c r="BO169" s="1650">
        <v>11</v>
      </c>
    </row>
    <row s="1650" customFormat="1" customHeight="1" ht="11.549999999999999">
      <c r="A170" s="996"/>
      <c r="B170" s="996"/>
      <c r="C170" s="996"/>
      <c r="D170" s="996"/>
      <c r="E170" s="996"/>
      <c r="F170" s="1645"/>
      <c r="G170" s="1645"/>
      <c r="H170" s="36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N170" s="1650"/>
      <c r="AO170" s="1650"/>
      <c r="AP170" s="1650"/>
      <c r="AQ170" s="1650"/>
      <c r="AR170" s="1375"/>
      <c r="AT170" s="1375"/>
      <c r="AU170" s="1645"/>
      <c r="AV170" s="1645"/>
      <c r="AW170" s="1375"/>
      <c r="AX170" s="1375"/>
      <c r="AY170" s="1375"/>
      <c r="AZ170" s="1375"/>
      <c r="BA170" s="1645"/>
      <c r="BB170" s="1375"/>
      <c r="BC170" s="1375"/>
      <c r="BD170" s="553"/>
      <c r="BE170" s="1375"/>
      <c r="BF170" s="1375"/>
      <c r="BG170" s="1375"/>
      <c r="BH170" s="1375"/>
      <c r="BI170" s="1375"/>
      <c r="BJ170" s="1641"/>
      <c r="BK170" s="631"/>
      <c r="BL170" s="631"/>
      <c r="BM170" s="631"/>
      <c r="BN170" s="631"/>
      <c r="BO170" s="1650">
        <v>11</v>
      </c>
    </row>
    <row s="1650" customFormat="1" customHeight="1" ht="11.549999999999999">
      <c r="A171" s="996"/>
      <c r="B171" s="996"/>
      <c r="C171" s="996"/>
      <c r="D171" s="996"/>
      <c r="E171" s="996"/>
      <c r="F171" s="1645"/>
      <c r="G171" s="1645"/>
      <c r="H171" s="36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N171" s="1650"/>
      <c r="AO171" s="1650"/>
      <c r="AP171" s="1650"/>
      <c r="AQ171" s="1650"/>
      <c r="AR171" s="1375"/>
      <c r="AT171" s="1375"/>
      <c r="AU171" s="1645"/>
      <c r="AV171" s="1645"/>
      <c r="AW171" s="1375"/>
      <c r="AX171" s="1375"/>
      <c r="AY171" s="1375"/>
      <c r="AZ171" s="1375"/>
      <c r="BA171" s="1645"/>
      <c r="BB171" s="1375"/>
      <c r="BC171" s="1375"/>
      <c r="BD171" s="553"/>
      <c r="BE171" s="1375"/>
      <c r="BF171" s="1375"/>
      <c r="BG171" s="1375"/>
      <c r="BH171" s="1375"/>
      <c r="BI171" s="1375"/>
      <c r="BJ171" s="1641"/>
      <c r="BK171" s="631"/>
      <c r="BL171" s="631"/>
      <c r="BM171" s="631"/>
      <c r="BN171" s="631"/>
      <c r="BO171" s="1650">
        <v>11</v>
      </c>
    </row>
    <row s="1650" customFormat="1" customHeight="1" ht="11.549999999999999">
      <c r="A172" s="996"/>
      <c r="B172" s="996"/>
      <c r="C172" s="996"/>
      <c r="D172" s="996"/>
      <c r="E172" s="996"/>
      <c r="F172" s="1645"/>
      <c r="G172" s="1645"/>
      <c r="H172" s="36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N172" s="1650"/>
      <c r="AO172" s="1650"/>
      <c r="AP172" s="1650"/>
      <c r="AQ172" s="1650"/>
      <c r="AR172" s="1375"/>
      <c r="AT172" s="1375"/>
      <c r="AU172" s="1645"/>
      <c r="AV172" s="1645"/>
      <c r="AW172" s="1375"/>
      <c r="AX172" s="1375"/>
      <c r="AY172" s="1375"/>
      <c r="AZ172" s="1375"/>
      <c r="BA172" s="1645"/>
      <c r="BB172" s="1375"/>
      <c r="BC172" s="1375"/>
      <c r="BD172" s="553"/>
      <c r="BE172" s="1375"/>
      <c r="BF172" s="1375"/>
      <c r="BG172" s="1375"/>
      <c r="BH172" s="1375"/>
      <c r="BI172" s="1375"/>
      <c r="BJ172" s="1641"/>
      <c r="BK172" s="631"/>
      <c r="BL172" s="631"/>
      <c r="BM172" s="631"/>
      <c r="BN172" s="631"/>
      <c r="BO172" s="1650">
        <v>11</v>
      </c>
    </row>
    <row s="1650" customFormat="1" customHeight="1" ht="11.549999999999999">
      <c r="A173" s="996"/>
      <c r="B173" s="996"/>
      <c r="C173" s="996"/>
      <c r="D173" s="996"/>
      <c r="E173" s="996"/>
      <c r="F173" s="1645"/>
      <c r="G173" s="1645"/>
      <c r="H173" s="36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N173" s="1650"/>
      <c r="AO173" s="1650"/>
      <c r="AP173" s="1650"/>
      <c r="AQ173" s="1650"/>
      <c r="AR173" s="1375"/>
      <c r="AT173" s="1375"/>
      <c r="AU173" s="1645"/>
      <c r="AV173" s="1645"/>
      <c r="AW173" s="1375"/>
      <c r="AX173" s="1375"/>
      <c r="AY173" s="1375"/>
      <c r="AZ173" s="1375"/>
      <c r="BA173" s="1645"/>
      <c r="BB173" s="1375"/>
      <c r="BC173" s="1375"/>
      <c r="BD173" s="553"/>
      <c r="BE173" s="1375"/>
      <c r="BF173" s="1375"/>
      <c r="BG173" s="1375"/>
      <c r="BH173" s="1375"/>
      <c r="BI173" s="1375"/>
      <c r="BJ173" s="1641"/>
      <c r="BK173" s="631"/>
      <c r="BL173" s="631"/>
      <c r="BM173" s="631"/>
      <c r="BN173" s="631"/>
      <c r="BO173" s="1650">
        <v>11</v>
      </c>
    </row>
    <row s="1650" customFormat="1" customHeight="1" ht="11.549999999999999">
      <c r="A174" s="996"/>
      <c r="B174" s="996"/>
      <c r="C174" s="996"/>
      <c r="D174" s="996"/>
      <c r="E174" s="996"/>
      <c r="F174" s="1645"/>
      <c r="G174" s="1645"/>
      <c r="H174" s="36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N174" s="1650"/>
      <c r="AO174" s="1650"/>
      <c r="AP174" s="1650"/>
      <c r="AQ174" s="1650"/>
      <c r="AR174" s="1375"/>
      <c r="AT174" s="1375"/>
      <c r="AU174" s="1645"/>
      <c r="AV174" s="1645"/>
      <c r="AW174" s="1375"/>
      <c r="AX174" s="1375"/>
      <c r="AY174" s="1375"/>
      <c r="AZ174" s="1375"/>
      <c r="BA174" s="1645"/>
      <c r="BB174" s="1375"/>
      <c r="BC174" s="1375"/>
      <c r="BD174" s="553"/>
      <c r="BE174" s="1375"/>
      <c r="BF174" s="1375"/>
      <c r="BG174" s="1375"/>
      <c r="BH174" s="1375"/>
      <c r="BI174" s="1375"/>
      <c r="BJ174" s="1641"/>
      <c r="BK174" s="631"/>
      <c r="BL174" s="631"/>
      <c r="BM174" s="631"/>
      <c r="BN174" s="631"/>
      <c r="BO174" s="1650">
        <v>11</v>
      </c>
    </row>
    <row s="1650" customFormat="1" customHeight="1" ht="11.549999999999999">
      <c r="A175" s="996"/>
      <c r="B175" s="996"/>
      <c r="C175" s="996"/>
      <c r="D175" s="996"/>
      <c r="E175" s="996"/>
      <c r="F175" s="1645"/>
      <c r="G175" s="1645"/>
      <c r="H175" s="36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N175" s="1650"/>
      <c r="AO175" s="1650"/>
      <c r="AP175" s="1650"/>
      <c r="AQ175" s="1650"/>
      <c r="AR175" s="1375"/>
      <c r="AT175" s="1375"/>
      <c r="AU175" s="1645"/>
      <c r="AV175" s="1645"/>
      <c r="AW175" s="1375"/>
      <c r="AX175" s="1375"/>
      <c r="AY175" s="1375"/>
      <c r="AZ175" s="1375"/>
      <c r="BA175" s="1645"/>
      <c r="BB175" s="1375"/>
      <c r="BC175" s="1375"/>
      <c r="BD175" s="553"/>
      <c r="BE175" s="1375"/>
      <c r="BF175" s="1375"/>
      <c r="BG175" s="1375"/>
      <c r="BH175" s="1375"/>
      <c r="BI175" s="1375"/>
      <c r="BJ175" s="1641"/>
      <c r="BK175" s="631"/>
      <c r="BL175" s="631"/>
      <c r="BM175" s="631"/>
      <c r="BN175" s="631"/>
      <c r="BO175" s="1650">
        <v>11</v>
      </c>
    </row>
    <row s="1650" customFormat="1" customHeight="1" ht="11.549999999999999">
      <c r="A176" s="996"/>
      <c r="B176" s="996"/>
      <c r="C176" s="996"/>
      <c r="D176" s="996"/>
      <c r="E176" s="996"/>
      <c r="F176" s="1645"/>
      <c r="G176" s="1645"/>
      <c r="H176" s="36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N176" s="1650"/>
      <c r="AO176" s="1650"/>
      <c r="AP176" s="1650"/>
      <c r="AQ176" s="1650"/>
      <c r="AR176" s="1375"/>
      <c r="AT176" s="1375"/>
      <c r="AU176" s="1645"/>
      <c r="AV176" s="1645"/>
      <c r="AW176" s="1375"/>
      <c r="AX176" s="1375"/>
      <c r="AY176" s="1375"/>
      <c r="AZ176" s="1375"/>
      <c r="BA176" s="1645"/>
      <c r="BB176" s="1375"/>
      <c r="BC176" s="1375"/>
      <c r="BD176" s="553"/>
      <c r="BE176" s="1375"/>
      <c r="BF176" s="1375"/>
      <c r="BG176" s="1375"/>
      <c r="BH176" s="1375"/>
      <c r="BI176" s="1375"/>
      <c r="BJ176" s="1641"/>
      <c r="BK176" s="631"/>
      <c r="BL176" s="631"/>
      <c r="BM176" s="631"/>
      <c r="BN176" s="631"/>
      <c r="BO176" s="1650">
        <v>11</v>
      </c>
    </row>
    <row s="1650" customFormat="1" customHeight="1" ht="11.549999999999999">
      <c r="A177" s="996"/>
      <c r="B177" s="996"/>
      <c r="C177" s="996"/>
      <c r="D177" s="996"/>
      <c r="E177" s="996"/>
      <c r="F177" s="1645"/>
      <c r="G177" s="1645"/>
      <c r="H177" s="36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N177" s="1650"/>
      <c r="AO177" s="1650"/>
      <c r="AP177" s="1650"/>
      <c r="AQ177" s="1650"/>
      <c r="AR177" s="1375"/>
      <c r="AT177" s="1375"/>
      <c r="AU177" s="1645"/>
      <c r="AV177" s="1645"/>
      <c r="AW177" s="1375"/>
      <c r="AX177" s="1375"/>
      <c r="AY177" s="1375"/>
      <c r="AZ177" s="1375"/>
      <c r="BA177" s="1645"/>
      <c r="BB177" s="1375"/>
      <c r="BC177" s="1375"/>
      <c r="BD177" s="553"/>
      <c r="BE177" s="1375"/>
      <c r="BF177" s="1375"/>
      <c r="BG177" s="1375"/>
      <c r="BH177" s="1375"/>
      <c r="BI177" s="1375"/>
      <c r="BJ177" s="1641"/>
      <c r="BK177" s="631"/>
      <c r="BL177" s="631"/>
      <c r="BM177" s="631"/>
      <c r="BN177" s="631"/>
      <c r="BO177" s="1650">
        <v>11</v>
      </c>
    </row>
    <row s="1650" customFormat="1" customHeight="1" ht="11.549999999999999">
      <c r="A178" s="996"/>
      <c r="B178" s="996"/>
      <c r="C178" s="996"/>
      <c r="D178" s="996"/>
      <c r="E178" s="996"/>
      <c r="F178" s="1645"/>
      <c r="G178" s="1645"/>
      <c r="H178" s="36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N178" s="1650"/>
      <c r="AO178" s="1650"/>
      <c r="AP178" s="1650"/>
      <c r="AQ178" s="1650"/>
      <c r="AR178" s="1375"/>
      <c r="AT178" s="1375"/>
      <c r="AU178" s="1645"/>
      <c r="AV178" s="1645"/>
      <c r="AW178" s="1375"/>
      <c r="AX178" s="1375"/>
      <c r="AY178" s="1375"/>
      <c r="AZ178" s="1375"/>
      <c r="BA178" s="1645"/>
      <c r="BB178" s="1375"/>
      <c r="BC178" s="1375"/>
      <c r="BD178" s="553"/>
      <c r="BE178" s="1375"/>
      <c r="BF178" s="1375"/>
      <c r="BG178" s="1375"/>
      <c r="BH178" s="1375"/>
      <c r="BI178" s="1375"/>
      <c r="BJ178" s="1641"/>
      <c r="BK178" s="631"/>
      <c r="BL178" s="631"/>
      <c r="BM178" s="631"/>
      <c r="BN178" s="631"/>
      <c r="BO178" s="1650">
        <v>11</v>
      </c>
    </row>
    <row s="1650" customFormat="1" customHeight="1" ht="11.549999999999999">
      <c r="A179" s="996"/>
      <c r="B179" s="996"/>
      <c r="C179" s="996"/>
      <c r="D179" s="996"/>
      <c r="E179" s="996"/>
      <c r="F179" s="1645"/>
      <c r="G179" s="1645"/>
      <c r="H179" s="36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N179" s="1650"/>
      <c r="AO179" s="1650"/>
      <c r="AP179" s="1650"/>
      <c r="AQ179" s="1650"/>
      <c r="AR179" s="1375"/>
      <c r="AT179" s="1375"/>
      <c r="AU179" s="1645"/>
      <c r="AV179" s="1645"/>
      <c r="AW179" s="1375"/>
      <c r="AX179" s="1375"/>
      <c r="AY179" s="1375"/>
      <c r="AZ179" s="1375"/>
      <c r="BA179" s="1645"/>
      <c r="BB179" s="1375"/>
      <c r="BC179" s="1375"/>
      <c r="BD179" s="553"/>
      <c r="BE179" s="1375"/>
      <c r="BF179" s="1375"/>
      <c r="BG179" s="1375"/>
      <c r="BH179" s="1375"/>
      <c r="BI179" s="1375"/>
      <c r="BJ179" s="1641"/>
      <c r="BK179" s="631"/>
      <c r="BL179" s="631"/>
      <c r="BM179" s="631"/>
      <c r="BN179" s="631"/>
      <c r="BO179" s="1650">
        <v>11</v>
      </c>
    </row>
    <row s="1650" customFormat="1" customHeight="1" ht="11.549999999999999">
      <c r="A180" s="996"/>
      <c r="B180" s="996"/>
      <c r="C180" s="996"/>
      <c r="D180" s="996"/>
      <c r="E180" s="996"/>
      <c r="F180" s="1645"/>
      <c r="G180" s="1645"/>
      <c r="H180" s="36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N180" s="1650"/>
      <c r="AO180" s="1650"/>
      <c r="AP180" s="1650"/>
      <c r="AQ180" s="1650"/>
      <c r="AR180" s="1375"/>
      <c r="AT180" s="1375"/>
      <c r="AU180" s="1645"/>
      <c r="AV180" s="1645"/>
      <c r="AW180" s="1375"/>
      <c r="AX180" s="1375"/>
      <c r="AY180" s="1375"/>
      <c r="AZ180" s="1375"/>
      <c r="BA180" s="1645"/>
      <c r="BB180" s="1375"/>
      <c r="BC180" s="1375"/>
      <c r="BD180" s="553"/>
      <c r="BE180" s="1375"/>
      <c r="BF180" s="1375"/>
      <c r="BG180" s="1375"/>
      <c r="BH180" s="1375"/>
      <c r="BI180" s="1375"/>
      <c r="BJ180" s="1641"/>
      <c r="BK180" s="631"/>
      <c r="BL180" s="631"/>
      <c r="BM180" s="631"/>
      <c r="BN180" s="631"/>
      <c r="BO180" s="1650">
        <v>11</v>
      </c>
    </row>
    <row s="1650" customFormat="1" customHeight="1" ht="11.549999999999999">
      <c r="A181" s="996"/>
      <c r="B181" s="996"/>
      <c r="C181" s="996"/>
      <c r="D181" s="996"/>
      <c r="E181" s="996"/>
      <c r="F181" s="1645"/>
      <c r="G181" s="1645"/>
      <c r="H181" s="36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N181" s="1650"/>
      <c r="AO181" s="1650"/>
      <c r="AP181" s="1650"/>
      <c r="AQ181" s="1650"/>
      <c r="AR181" s="1375"/>
      <c r="AT181" s="1375"/>
      <c r="AU181" s="1645"/>
      <c r="AV181" s="1645"/>
      <c r="AW181" s="1375"/>
      <c r="AX181" s="1375"/>
      <c r="AY181" s="1375"/>
      <c r="AZ181" s="1375"/>
      <c r="BA181" s="1645"/>
      <c r="BB181" s="1375"/>
      <c r="BC181" s="1375"/>
      <c r="BD181" s="553"/>
      <c r="BE181" s="1375"/>
      <c r="BF181" s="1375"/>
      <c r="BG181" s="1375"/>
      <c r="BH181" s="1375"/>
      <c r="BI181" s="1375"/>
      <c r="BJ181" s="1641"/>
      <c r="BK181" s="631"/>
      <c r="BL181" s="631"/>
      <c r="BM181" s="631"/>
      <c r="BN181" s="631"/>
      <c r="BO181" s="1650">
        <v>11</v>
      </c>
    </row>
    <row s="1650" customFormat="1" customHeight="1" ht="11.549999999999999">
      <c r="A182" s="996"/>
      <c r="B182" s="996"/>
      <c r="C182" s="996"/>
      <c r="D182" s="996"/>
      <c r="E182" s="996"/>
      <c r="F182" s="1645"/>
      <c r="G182" s="1645"/>
      <c r="H182" s="36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N182" s="1650"/>
      <c r="AO182" s="1650"/>
      <c r="AP182" s="1650"/>
      <c r="AQ182" s="1650"/>
      <c r="AR182" s="1375"/>
      <c r="AT182" s="1375"/>
      <c r="AU182" s="1645"/>
      <c r="AV182" s="1645"/>
      <c r="AW182" s="1375"/>
      <c r="AX182" s="1375"/>
      <c r="AY182" s="1375"/>
      <c r="AZ182" s="1375"/>
      <c r="BA182" s="1645"/>
      <c r="BB182" s="1375"/>
      <c r="BC182" s="1375"/>
      <c r="BD182" s="553"/>
      <c r="BE182" s="1375"/>
      <c r="BF182" s="1375"/>
      <c r="BG182" s="1375"/>
      <c r="BH182" s="1375"/>
      <c r="BI182" s="1375"/>
      <c r="BJ182" s="1641"/>
      <c r="BK182" s="631"/>
      <c r="BL182" s="631"/>
      <c r="BM182" s="631"/>
      <c r="BN182" s="631"/>
      <c r="BO182" s="1650">
        <v>11</v>
      </c>
    </row>
    <row s="1650" customFormat="1" customHeight="1" ht="11.549999999999999">
      <c r="A183" s="996"/>
      <c r="B183" s="996"/>
      <c r="C183" s="996"/>
      <c r="D183" s="996"/>
      <c r="E183" s="996"/>
      <c r="F183" s="1645"/>
      <c r="G183" s="1645"/>
      <c r="H183" s="36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N183" s="1650"/>
      <c r="AO183" s="1650"/>
      <c r="AP183" s="1650"/>
      <c r="AQ183" s="1650"/>
      <c r="AR183" s="1375"/>
      <c r="AT183" s="1375"/>
      <c r="AU183" s="1645"/>
      <c r="AV183" s="1645"/>
      <c r="AW183" s="1375"/>
      <c r="AX183" s="1375"/>
      <c r="AY183" s="1375"/>
      <c r="AZ183" s="1375"/>
      <c r="BA183" s="1645"/>
      <c r="BB183" s="1375"/>
      <c r="BC183" s="1375"/>
      <c r="BD183" s="553"/>
      <c r="BE183" s="1375"/>
      <c r="BF183" s="1375"/>
      <c r="BG183" s="1375"/>
      <c r="BH183" s="1375"/>
      <c r="BI183" s="1375"/>
      <c r="BJ183" s="1641"/>
      <c r="BK183" s="631"/>
      <c r="BL183" s="631"/>
      <c r="BM183" s="631"/>
      <c r="BN183" s="631"/>
      <c r="BO183" s="1650">
        <v>11</v>
      </c>
    </row>
    <row s="1650" customFormat="1" customHeight="1" ht="11.549999999999999">
      <c r="A184" s="996"/>
      <c r="B184" s="996"/>
      <c r="C184" s="996"/>
      <c r="D184" s="996"/>
      <c r="E184" s="996"/>
      <c r="F184" s="1645"/>
      <c r="G184" s="1645"/>
      <c r="H184" s="36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N184" s="1650"/>
      <c r="AO184" s="1650"/>
      <c r="AP184" s="1650"/>
      <c r="AQ184" s="1650"/>
      <c r="AR184" s="1375"/>
      <c r="AT184" s="1375"/>
      <c r="AU184" s="1645"/>
      <c r="AV184" s="1645"/>
      <c r="AW184" s="1375"/>
      <c r="AX184" s="1375"/>
      <c r="AY184" s="1375"/>
      <c r="AZ184" s="1375"/>
      <c r="BA184" s="1645"/>
      <c r="BB184" s="1375"/>
      <c r="BC184" s="1375"/>
      <c r="BD184" s="553"/>
      <c r="BE184" s="1375"/>
      <c r="BF184" s="1375"/>
      <c r="BG184" s="1375"/>
      <c r="BH184" s="1375"/>
      <c r="BI184" s="1375"/>
      <c r="BJ184" s="1641"/>
      <c r="BK184" s="631"/>
      <c r="BL184" s="631"/>
      <c r="BM184" s="631"/>
      <c r="BN184" s="631"/>
      <c r="BO184" s="1650">
        <v>11</v>
      </c>
    </row>
    <row s="1650" customFormat="1" customHeight="1" ht="11.549999999999999">
      <c r="A185" s="996"/>
      <c r="B185" s="996"/>
      <c r="C185" s="996"/>
      <c r="D185" s="996"/>
      <c r="E185" s="996"/>
      <c r="F185" s="1645"/>
      <c r="G185" s="1645"/>
      <c r="H185" s="36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N185" s="1650"/>
      <c r="AO185" s="1650"/>
      <c r="AP185" s="1650"/>
      <c r="AQ185" s="1650"/>
      <c r="AR185" s="1375"/>
      <c r="AT185" s="1375"/>
      <c r="AU185" s="1645"/>
      <c r="AV185" s="1645"/>
      <c r="AW185" s="1375"/>
      <c r="AX185" s="1375"/>
      <c r="AY185" s="1375"/>
      <c r="AZ185" s="1375"/>
      <c r="BA185" s="1645"/>
      <c r="BB185" s="1375"/>
      <c r="BC185" s="1375"/>
      <c r="BD185" s="553"/>
      <c r="BE185" s="1375"/>
      <c r="BF185" s="1375"/>
      <c r="BG185" s="1375"/>
      <c r="BH185" s="1375"/>
      <c r="BI185" s="1375"/>
      <c r="BJ185" s="1641"/>
      <c r="BK185" s="631"/>
      <c r="BL185" s="631"/>
      <c r="BM185" s="631"/>
      <c r="BN185" s="631"/>
      <c r="BO185" s="1650">
        <v>11</v>
      </c>
    </row>
    <row s="1650" customFormat="1" customHeight="1" ht="11.549999999999999">
      <c r="A186" s="996"/>
      <c r="B186" s="996"/>
      <c r="C186" s="996"/>
      <c r="D186" s="996"/>
      <c r="E186" s="996"/>
      <c r="F186" s="1645"/>
      <c r="G186" s="1645"/>
      <c r="H186" s="36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N186" s="1650"/>
      <c r="AO186" s="1650"/>
      <c r="AP186" s="1650"/>
      <c r="AQ186" s="1650"/>
      <c r="AR186" s="1375"/>
      <c r="AT186" s="1375"/>
      <c r="AU186" s="1645"/>
      <c r="AV186" s="1645"/>
      <c r="AW186" s="1375"/>
      <c r="AX186" s="1375"/>
      <c r="AY186" s="1375"/>
      <c r="AZ186" s="1375"/>
      <c r="BA186" s="1645"/>
      <c r="BB186" s="1375"/>
      <c r="BC186" s="1375"/>
      <c r="BD186" s="553"/>
      <c r="BE186" s="1375"/>
      <c r="BF186" s="1375"/>
      <c r="BG186" s="1375"/>
      <c r="BH186" s="1375"/>
      <c r="BI186" s="1375"/>
      <c r="BJ186" s="1641"/>
      <c r="BK186" s="631"/>
      <c r="BL186" s="631"/>
      <c r="BM186" s="631"/>
      <c r="BN186" s="631"/>
      <c r="BO186" s="1650">
        <v>11</v>
      </c>
    </row>
    <row s="1650" customFormat="1" customHeight="1" ht="11.549999999999999">
      <c r="A187" s="996"/>
      <c r="B187" s="996"/>
      <c r="C187" s="996"/>
      <c r="D187" s="996"/>
      <c r="E187" s="996"/>
      <c r="F187" s="1645"/>
      <c r="G187" s="1645"/>
      <c r="H187" s="36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N187" s="1650"/>
      <c r="AO187" s="1650"/>
      <c r="AP187" s="1650"/>
      <c r="AQ187" s="1650"/>
      <c r="AR187" s="1375"/>
      <c r="AT187" s="1375"/>
      <c r="AU187" s="1645"/>
      <c r="AV187" s="1645"/>
      <c r="AW187" s="1375"/>
      <c r="AX187" s="1375"/>
      <c r="AY187" s="1375"/>
      <c r="AZ187" s="1375"/>
      <c r="BA187" s="1645"/>
      <c r="BB187" s="1375"/>
      <c r="BC187" s="1375"/>
      <c r="BD187" s="553"/>
      <c r="BE187" s="1375"/>
      <c r="BF187" s="1375"/>
      <c r="BG187" s="1375"/>
      <c r="BH187" s="1375"/>
      <c r="BI187" s="1375"/>
      <c r="BJ187" s="1641"/>
      <c r="BK187" s="631"/>
      <c r="BL187" s="631"/>
      <c r="BM187" s="631"/>
      <c r="BN187" s="631"/>
      <c r="BO187" s="1650">
        <v>11</v>
      </c>
    </row>
    <row s="1650" customFormat="1" customHeight="1" ht="11.549999999999999">
      <c r="A188" s="996"/>
      <c r="B188" s="996"/>
      <c r="C188" s="996"/>
      <c r="D188" s="996"/>
      <c r="E188" s="996"/>
      <c r="F188" s="1645"/>
      <c r="G188" s="1645"/>
      <c r="H188" s="36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N188" s="1650"/>
      <c r="AO188" s="1650"/>
      <c r="AP188" s="1650"/>
      <c r="AQ188" s="1650"/>
      <c r="AR188" s="1375"/>
      <c r="AT188" s="1375"/>
      <c r="AU188" s="1645"/>
      <c r="AV188" s="1645"/>
      <c r="AW188" s="1375"/>
      <c r="AX188" s="1375"/>
      <c r="AY188" s="1375"/>
      <c r="AZ188" s="1375"/>
      <c r="BA188" s="1645"/>
      <c r="BB188" s="1375"/>
      <c r="BC188" s="1375"/>
      <c r="BD188" s="553"/>
      <c r="BE188" s="1375"/>
      <c r="BF188" s="1375"/>
      <c r="BG188" s="1375"/>
      <c r="BH188" s="1375"/>
      <c r="BI188" s="1375"/>
      <c r="BJ188" s="1641"/>
      <c r="BK188" s="631"/>
      <c r="BL188" s="631"/>
      <c r="BM188" s="631"/>
      <c r="BN188" s="631"/>
      <c r="BO188" s="1650">
        <v>11</v>
      </c>
    </row>
    <row s="1650" customFormat="1" customHeight="1" ht="11.549999999999999">
      <c r="A189" s="996"/>
      <c r="B189" s="996"/>
      <c r="C189" s="996"/>
      <c r="D189" s="996"/>
      <c r="E189" s="996"/>
      <c r="F189" s="1645"/>
      <c r="G189" s="1645"/>
      <c r="H189" s="36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N189" s="1650"/>
      <c r="AO189" s="1650"/>
      <c r="AP189" s="1650"/>
      <c r="AQ189" s="1650"/>
      <c r="AR189" s="1375"/>
      <c r="AT189" s="1375"/>
      <c r="AU189" s="1645"/>
      <c r="AV189" s="1645"/>
      <c r="AW189" s="1375"/>
      <c r="AX189" s="1375"/>
      <c r="AY189" s="1375"/>
      <c r="AZ189" s="1375"/>
      <c r="BA189" s="1645"/>
      <c r="BB189" s="1375"/>
      <c r="BC189" s="1375"/>
      <c r="BD189" s="553"/>
      <c r="BE189" s="1375"/>
      <c r="BF189" s="1375"/>
      <c r="BG189" s="1375"/>
      <c r="BH189" s="1375"/>
      <c r="BI189" s="1375"/>
      <c r="BJ189" s="1641"/>
      <c r="BK189" s="631"/>
      <c r="BL189" s="631"/>
      <c r="BM189" s="631"/>
      <c r="BN189" s="631"/>
      <c r="BO189" s="1650">
        <v>11</v>
      </c>
    </row>
    <row customHeight="1" ht="11.549999999999999">
      <c r="N190" s="1644"/>
      <c r="O190" s="1644"/>
      <c r="P190" s="1644"/>
      <c r="Q190" s="1644"/>
      <c r="R190" s="1644"/>
      <c r="S190" s="1644"/>
      <c r="T190" s="1644"/>
      <c r="U190" s="1644"/>
      <c r="V190" s="1644"/>
      <c r="W190" s="1644"/>
      <c r="X190" s="1644"/>
      <c r="Y190" s="1644"/>
      <c r="Z190" s="1644"/>
      <c r="AA190" s="1644"/>
      <c r="AB190" s="1644"/>
      <c r="AC190" s="1644"/>
      <c r="AD190" s="1644"/>
      <c r="AE190" s="1644"/>
      <c r="AF190" s="1644"/>
      <c r="AG190" s="1644"/>
      <c r="AH190" s="1644"/>
      <c r="AI190" s="1644"/>
      <c r="AJ190" s="1644"/>
      <c r="AK190" s="1644"/>
      <c r="AL190" s="1644"/>
      <c r="AM190" s="1644"/>
      <c r="AN190" s="1644"/>
      <c r="AO190" s="1644"/>
      <c r="AP190" s="1644"/>
      <c r="AQ190" s="1644"/>
      <c r="BO190" s="1640">
        <v>11</v>
      </c>
    </row>
    <row customHeight="1" ht="11.549999999999999">
      <c r="N191" s="1644"/>
      <c r="O191" s="1644"/>
      <c r="P191" s="1644"/>
      <c r="Q191" s="1644"/>
      <c r="R191" s="1644"/>
      <c r="S191" s="1644"/>
      <c r="T191" s="1644"/>
      <c r="U191" s="1644"/>
      <c r="V191" s="1644"/>
      <c r="W191" s="1644"/>
      <c r="X191" s="1644"/>
      <c r="Y191" s="1644"/>
      <c r="Z191" s="1644"/>
      <c r="AA191" s="1644"/>
      <c r="AB191" s="1644"/>
      <c r="AC191" s="1644"/>
      <c r="AD191" s="1644"/>
      <c r="AE191" s="1644"/>
      <c r="AF191" s="1644"/>
      <c r="AG191" s="1644"/>
      <c r="AH191" s="1644"/>
      <c r="AI191" s="1644"/>
      <c r="AJ191" s="1644"/>
      <c r="AK191" s="1644"/>
      <c r="AL191" s="1644"/>
      <c r="AM191" s="1644"/>
      <c r="AN191" s="1644"/>
      <c r="AO191" s="1644"/>
      <c r="AP191" s="1644"/>
      <c r="AQ191" s="1644"/>
      <c r="BO191" s="1640">
        <v>11</v>
      </c>
    </row>
    <row customHeight="1" ht="11.549999999999999">
      <c r="N192" s="1644"/>
      <c r="O192" s="1644"/>
      <c r="P192" s="1644"/>
      <c r="Q192" s="1644"/>
      <c r="R192" s="1644"/>
      <c r="S192" s="1644"/>
      <c r="T192" s="1644"/>
      <c r="U192" s="1644"/>
      <c r="V192" s="1644"/>
      <c r="W192" s="1644"/>
      <c r="X192" s="1644"/>
      <c r="Y192" s="1644"/>
      <c r="Z192" s="1644"/>
      <c r="AA192" s="1644"/>
      <c r="AB192" s="1644"/>
      <c r="AC192" s="1644"/>
      <c r="AD192" s="1644"/>
      <c r="AE192" s="1644"/>
      <c r="AF192" s="1644"/>
      <c r="AG192" s="1644"/>
      <c r="AH192" s="1644"/>
      <c r="AI192" s="1644"/>
      <c r="AJ192" s="1644"/>
      <c r="AK192" s="1644"/>
      <c r="AL192" s="1644"/>
      <c r="AM192" s="1644"/>
      <c r="AN192" s="1644"/>
      <c r="AO192" s="1644"/>
      <c r="AP192" s="1644"/>
      <c r="AQ192" s="1644"/>
      <c r="BO192" s="1640">
        <v>11</v>
      </c>
    </row>
    <row customHeight="1" ht="11.549999999999999">
      <c r="A193" s="999"/>
      <c r="B193" s="999"/>
      <c r="C193" s="999"/>
      <c r="D193" s="999"/>
      <c r="E193" s="999"/>
      <c r="F193" s="1640"/>
      <c r="H193" s="1640"/>
      <c r="N193" s="1644"/>
      <c r="O193" s="1644"/>
      <c r="P193" s="1644"/>
      <c r="Q193" s="1644"/>
      <c r="R193" s="1644"/>
      <c r="S193" s="1644"/>
      <c r="T193" s="1644"/>
      <c r="U193" s="1644"/>
      <c r="V193" s="1644"/>
      <c r="W193" s="1644"/>
      <c r="X193" s="1644"/>
      <c r="Y193" s="1644"/>
      <c r="Z193" s="1644"/>
      <c r="AA193" s="1644"/>
      <c r="AB193" s="1644"/>
      <c r="AC193" s="1644"/>
      <c r="AD193" s="1644"/>
      <c r="AE193" s="1644"/>
      <c r="AF193" s="1644"/>
      <c r="AG193" s="1644"/>
      <c r="AH193" s="1644"/>
      <c r="AI193" s="1644"/>
      <c r="AJ193" s="1644"/>
      <c r="AK193" s="1644"/>
      <c r="AL193" s="1644"/>
      <c r="AM193" s="1644"/>
      <c r="AN193" s="1644"/>
      <c r="AO193" s="1644"/>
      <c r="AP193" s="1644"/>
      <c r="AQ193" s="1644"/>
      <c r="AR193" s="1640"/>
      <c r="AT193" s="1640"/>
      <c r="AW193" s="1640"/>
      <c r="AX193" s="1640"/>
      <c r="AY193" s="1640"/>
      <c r="AZ193" s="1640"/>
      <c r="BB193" s="1640"/>
      <c r="BC193" s="1640"/>
      <c r="BD193" s="1640"/>
      <c r="BE193" s="1640"/>
      <c r="BF193" s="1640"/>
      <c r="BG193" s="1640"/>
      <c r="BH193" s="1640"/>
      <c r="BI193" s="1640"/>
      <c r="BJ193" s="1640"/>
      <c r="BK193" s="1640"/>
      <c r="BL193" s="1640"/>
      <c r="BM193" s="1640"/>
      <c r="BN193" s="1640"/>
      <c r="BO193" s="1640">
        <v>11</v>
      </c>
    </row>
    <row customHeight="1" ht="11.549999999999999">
      <c r="A194" s="999"/>
      <c r="B194" s="999"/>
      <c r="C194" s="999"/>
      <c r="D194" s="999"/>
      <c r="E194" s="999"/>
      <c r="F194" s="1640"/>
      <c r="H194" s="1640"/>
      <c r="N194" s="1644"/>
      <c r="O194" s="1644"/>
      <c r="P194" s="1644"/>
      <c r="Q194" s="1644"/>
      <c r="R194" s="1644"/>
      <c r="S194" s="1644"/>
      <c r="T194" s="1644"/>
      <c r="U194" s="1644"/>
      <c r="V194" s="1644"/>
      <c r="W194" s="1644"/>
      <c r="X194" s="1644"/>
      <c r="Y194" s="1644"/>
      <c r="Z194" s="1644"/>
      <c r="AA194" s="1644"/>
      <c r="AB194" s="1644"/>
      <c r="AC194" s="1644"/>
      <c r="AD194" s="1644"/>
      <c r="AE194" s="1644"/>
      <c r="AF194" s="1644"/>
      <c r="AG194" s="1644"/>
      <c r="AH194" s="1644"/>
      <c r="AI194" s="1644"/>
      <c r="AJ194" s="1644"/>
      <c r="AK194" s="1644"/>
      <c r="AL194" s="1644"/>
      <c r="AM194" s="1644"/>
      <c r="AN194" s="1644"/>
      <c r="AO194" s="1644"/>
      <c r="AP194" s="1644"/>
      <c r="AQ194" s="1644"/>
      <c r="AR194" s="1640"/>
      <c r="AT194" s="1640"/>
      <c r="AW194" s="1640"/>
      <c r="AX194" s="1640"/>
      <c r="AY194" s="1640"/>
      <c r="AZ194" s="1640"/>
      <c r="BB194" s="1640"/>
      <c r="BC194" s="1640"/>
      <c r="BD194" s="1640"/>
      <c r="BE194" s="1640"/>
      <c r="BF194" s="1640"/>
      <c r="BG194" s="1640"/>
      <c r="BH194" s="1640"/>
      <c r="BI194" s="1640"/>
      <c r="BJ194" s="1640"/>
      <c r="BK194" s="1640"/>
      <c r="BL194" s="1640"/>
      <c r="BM194" s="1640"/>
      <c r="BN194" s="1640"/>
      <c r="BO194" s="1640">
        <v>11</v>
      </c>
    </row>
    <row customHeight="1" ht="11.549999999999999">
      <c r="A195" s="999"/>
      <c r="B195" s="999"/>
      <c r="C195" s="999"/>
      <c r="D195" s="999"/>
      <c r="E195" s="999"/>
      <c r="F195" s="1640"/>
      <c r="H195" s="1640"/>
      <c r="N195" s="1644"/>
      <c r="O195" s="1644"/>
      <c r="P195" s="1644"/>
      <c r="Q195" s="1644"/>
      <c r="R195" s="1644"/>
      <c r="S195" s="1644"/>
      <c r="T195" s="1644"/>
      <c r="U195" s="1644"/>
      <c r="V195" s="1644"/>
      <c r="W195" s="1644"/>
      <c r="X195" s="1644"/>
      <c r="Y195" s="1644"/>
      <c r="Z195" s="1644"/>
      <c r="AA195" s="1644"/>
      <c r="AB195" s="1644"/>
      <c r="AC195" s="1644"/>
      <c r="AD195" s="1644"/>
      <c r="AE195" s="1644"/>
      <c r="AF195" s="1644"/>
      <c r="AG195" s="1644"/>
      <c r="AH195" s="1644"/>
      <c r="AI195" s="1644"/>
      <c r="AJ195" s="1644"/>
      <c r="AK195" s="1644"/>
      <c r="AL195" s="1644"/>
      <c r="AM195" s="1644"/>
      <c r="AN195" s="1644"/>
      <c r="AO195" s="1644"/>
      <c r="AP195" s="1644"/>
      <c r="AQ195" s="1644"/>
      <c r="AR195" s="1640"/>
      <c r="AT195" s="1640"/>
      <c r="AW195" s="1640"/>
      <c r="AX195" s="1640"/>
      <c r="AY195" s="1640"/>
      <c r="AZ195" s="1640"/>
      <c r="BB195" s="1640"/>
      <c r="BC195" s="1640"/>
      <c r="BD195" s="1640"/>
      <c r="BE195" s="1640"/>
      <c r="BF195" s="1640"/>
      <c r="BG195" s="1640"/>
      <c r="BH195" s="1640"/>
      <c r="BI195" s="1640"/>
      <c r="BJ195" s="1640"/>
      <c r="BK195" s="1640"/>
      <c r="BL195" s="1640"/>
      <c r="BM195" s="1640"/>
      <c r="BN195" s="1640"/>
      <c r="BO195" s="1640">
        <v>11</v>
      </c>
    </row>
    <row customHeight="1" ht="11.549999999999999">
      <c r="A196" s="999"/>
      <c r="B196" s="999"/>
      <c r="C196" s="999"/>
      <c r="D196" s="999"/>
      <c r="E196" s="999"/>
      <c r="F196" s="1640"/>
      <c r="H196" s="1640"/>
      <c r="N196" s="1644"/>
      <c r="O196" s="1644"/>
      <c r="P196" s="1644"/>
      <c r="Q196" s="1644"/>
      <c r="R196" s="1644"/>
      <c r="S196" s="1644"/>
      <c r="T196" s="1644"/>
      <c r="U196" s="1644"/>
      <c r="V196" s="1644"/>
      <c r="W196" s="1644"/>
      <c r="X196" s="1644"/>
      <c r="Y196" s="1644"/>
      <c r="Z196" s="1644"/>
      <c r="AA196" s="1644"/>
      <c r="AB196" s="1644"/>
      <c r="AC196" s="1644"/>
      <c r="AD196" s="1644"/>
      <c r="AE196" s="1644"/>
      <c r="AF196" s="1644"/>
      <c r="AG196" s="1644"/>
      <c r="AH196" s="1644"/>
      <c r="AI196" s="1644"/>
      <c r="AJ196" s="1644"/>
      <c r="AK196" s="1644"/>
      <c r="AL196" s="1644"/>
      <c r="AM196" s="1644"/>
      <c r="AN196" s="1644"/>
      <c r="AO196" s="1644"/>
      <c r="AP196" s="1644"/>
      <c r="AQ196" s="1644"/>
      <c r="AR196" s="1640"/>
      <c r="AT196" s="1640"/>
      <c r="AW196" s="1640"/>
      <c r="AX196" s="1640"/>
      <c r="AY196" s="1640"/>
      <c r="AZ196" s="1640"/>
      <c r="BB196" s="1640"/>
      <c r="BC196" s="1640"/>
      <c r="BD196" s="1640"/>
      <c r="BE196" s="1640"/>
      <c r="BF196" s="1640"/>
      <c r="BG196" s="1640"/>
      <c r="BH196" s="1640"/>
      <c r="BI196" s="1640"/>
      <c r="BJ196" s="1640"/>
      <c r="BK196" s="1640"/>
      <c r="BL196" s="1640"/>
      <c r="BM196" s="1640"/>
      <c r="BN196" s="1640"/>
      <c r="BO196" s="1640">
        <v>11</v>
      </c>
    </row>
    <row customHeight="1" ht="11.549999999999999">
      <c r="A197" s="999"/>
      <c r="B197" s="999"/>
      <c r="C197" s="999"/>
      <c r="D197" s="999"/>
      <c r="E197" s="999"/>
      <c r="F197" s="1640"/>
      <c r="H197" s="1640"/>
      <c r="N197" s="1644"/>
      <c r="O197" s="1644"/>
      <c r="P197" s="1644"/>
      <c r="Q197" s="1644"/>
      <c r="R197" s="1644"/>
      <c r="S197" s="1644"/>
      <c r="T197" s="1644"/>
      <c r="U197" s="1644"/>
      <c r="V197" s="1644"/>
      <c r="W197" s="1644"/>
      <c r="X197" s="1644"/>
      <c r="Y197" s="1644"/>
      <c r="Z197" s="1644"/>
      <c r="AA197" s="1644"/>
      <c r="AB197" s="1644"/>
      <c r="AC197" s="1644"/>
      <c r="AD197" s="1644"/>
      <c r="AE197" s="1644"/>
      <c r="AF197" s="1644"/>
      <c r="AG197" s="1644"/>
      <c r="AH197" s="1644"/>
      <c r="AI197" s="1644"/>
      <c r="AJ197" s="1644"/>
      <c r="AK197" s="1644"/>
      <c r="AL197" s="1644"/>
      <c r="AM197" s="1644"/>
      <c r="AN197" s="1644"/>
      <c r="AO197" s="1644"/>
      <c r="AP197" s="1644"/>
      <c r="AQ197" s="1644"/>
      <c r="AR197" s="1640"/>
      <c r="AT197" s="1640"/>
      <c r="AW197" s="1640"/>
      <c r="AX197" s="1640"/>
      <c r="AY197" s="1640"/>
      <c r="AZ197" s="1640"/>
      <c r="BB197" s="1640"/>
      <c r="BC197" s="1640"/>
      <c r="BD197" s="1640"/>
      <c r="BE197" s="1640"/>
      <c r="BF197" s="1640"/>
      <c r="BG197" s="1640"/>
      <c r="BH197" s="1640"/>
      <c r="BI197" s="1640"/>
      <c r="BJ197" s="1640"/>
      <c r="BK197" s="1640"/>
      <c r="BL197" s="1640"/>
      <c r="BM197" s="1640"/>
      <c r="BN197" s="1640"/>
      <c r="BO197" s="1640">
        <v>11</v>
      </c>
    </row>
    <row customHeight="1" ht="11.549999999999999">
      <c r="A198" s="999"/>
      <c r="B198" s="999"/>
      <c r="C198" s="999"/>
      <c r="D198" s="999"/>
      <c r="E198" s="999"/>
      <c r="F198" s="1640"/>
      <c r="H198" s="1640"/>
      <c r="N198" s="1644"/>
      <c r="O198" s="1644"/>
      <c r="P198" s="1644"/>
      <c r="Q198" s="1644"/>
      <c r="R198" s="1644"/>
      <c r="S198" s="1644"/>
      <c r="T198" s="1644"/>
      <c r="U198" s="1644"/>
      <c r="V198" s="1644"/>
      <c r="W198" s="1644"/>
      <c r="X198" s="1644"/>
      <c r="Y198" s="1644"/>
      <c r="Z198" s="1644"/>
      <c r="AA198" s="1644"/>
      <c r="AB198" s="1644"/>
      <c r="AC198" s="1644"/>
      <c r="AD198" s="1644"/>
      <c r="AE198" s="1644"/>
      <c r="AF198" s="1644"/>
      <c r="AG198" s="1644"/>
      <c r="AH198" s="1644"/>
      <c r="AI198" s="1644"/>
      <c r="AJ198" s="1644"/>
      <c r="AK198" s="1644"/>
      <c r="AL198" s="1644"/>
      <c r="AM198" s="1644"/>
      <c r="AN198" s="1644"/>
      <c r="AO198" s="1644"/>
      <c r="AP198" s="1644"/>
      <c r="AQ198" s="1644"/>
      <c r="AR198" s="1640"/>
      <c r="AT198" s="1640"/>
      <c r="AW198" s="1640"/>
      <c r="AX198" s="1640"/>
      <c r="AY198" s="1640"/>
      <c r="AZ198" s="1640"/>
      <c r="BB198" s="1640"/>
      <c r="BC198" s="1640"/>
      <c r="BD198" s="1640"/>
      <c r="BE198" s="1640"/>
      <c r="BF198" s="1640"/>
      <c r="BG198" s="1640"/>
      <c r="BH198" s="1640"/>
      <c r="BI198" s="1640"/>
      <c r="BJ198" s="1640"/>
      <c r="BK198" s="1640"/>
      <c r="BL198" s="1640"/>
      <c r="BM198" s="1640"/>
      <c r="BN198" s="1640"/>
      <c r="BO198" s="1640">
        <v>11</v>
      </c>
    </row>
    <row customHeight="1" ht="11.549999999999999">
      <c r="A199" s="999"/>
      <c r="B199" s="999"/>
      <c r="C199" s="999"/>
      <c r="D199" s="999"/>
      <c r="E199" s="999"/>
      <c r="F199" s="1640"/>
      <c r="H199" s="1640"/>
      <c r="N199" s="1644"/>
      <c r="O199" s="1644"/>
      <c r="P199" s="1644"/>
      <c r="Q199" s="1644"/>
      <c r="R199" s="1644"/>
      <c r="S199" s="1644"/>
      <c r="T199" s="1644"/>
      <c r="U199" s="1644"/>
      <c r="V199" s="1644"/>
      <c r="W199" s="1644"/>
      <c r="X199" s="1644"/>
      <c r="Y199" s="1644"/>
      <c r="Z199" s="1644"/>
      <c r="AA199" s="1644"/>
      <c r="AB199" s="1644"/>
      <c r="AC199" s="1644"/>
      <c r="AD199" s="1644"/>
      <c r="AE199" s="1644"/>
      <c r="AF199" s="1644"/>
      <c r="AG199" s="1644"/>
      <c r="AH199" s="1644"/>
      <c r="AI199" s="1644"/>
      <c r="AJ199" s="1644"/>
      <c r="AK199" s="1644"/>
      <c r="AL199" s="1644"/>
      <c r="AM199" s="1644"/>
      <c r="AN199" s="1644"/>
      <c r="AO199" s="1644"/>
      <c r="AP199" s="1644"/>
      <c r="AQ199" s="1644"/>
      <c r="AR199" s="1640"/>
      <c r="AT199" s="1640"/>
      <c r="AW199" s="1640"/>
      <c r="AX199" s="1640"/>
      <c r="AY199" s="1640"/>
      <c r="AZ199" s="1640"/>
      <c r="BB199" s="1640"/>
      <c r="BC199" s="1640"/>
      <c r="BD199" s="1640"/>
      <c r="BE199" s="1640"/>
      <c r="BF199" s="1640"/>
      <c r="BG199" s="1640"/>
      <c r="BH199" s="1640"/>
      <c r="BI199" s="1640"/>
      <c r="BJ199" s="1640"/>
      <c r="BK199" s="1640"/>
      <c r="BL199" s="1640"/>
      <c r="BM199" s="1640"/>
      <c r="BN199" s="1640"/>
      <c r="BO199" s="1640">
        <v>11</v>
      </c>
    </row>
    <row customHeight="1" ht="11.549999999999999">
      <c r="A200" s="999"/>
      <c r="B200" s="999"/>
      <c r="C200" s="999"/>
      <c r="D200" s="999"/>
      <c r="E200" s="999"/>
      <c r="F200" s="1640"/>
      <c r="H200" s="1640"/>
      <c r="N200" s="1644"/>
      <c r="O200" s="1644"/>
      <c r="P200" s="1644"/>
      <c r="Q200" s="1644"/>
      <c r="R200" s="1644"/>
      <c r="S200" s="1644"/>
      <c r="T200" s="1644"/>
      <c r="U200" s="1644"/>
      <c r="V200" s="1644"/>
      <c r="W200" s="1644"/>
      <c r="X200" s="1644"/>
      <c r="Y200" s="1644"/>
      <c r="Z200" s="1644"/>
      <c r="AA200" s="1644"/>
      <c r="AB200" s="1644"/>
      <c r="AC200" s="1644"/>
      <c r="AD200" s="1644"/>
      <c r="AE200" s="1644"/>
      <c r="AF200" s="1644"/>
      <c r="AG200" s="1644"/>
      <c r="AH200" s="1644"/>
      <c r="AI200" s="1644"/>
      <c r="AJ200" s="1644"/>
      <c r="AK200" s="1644"/>
      <c r="AL200" s="1644"/>
      <c r="AM200" s="1644"/>
      <c r="AN200" s="1644"/>
      <c r="AO200" s="1644"/>
      <c r="AP200" s="1644"/>
      <c r="AQ200" s="1644"/>
      <c r="AR200" s="1640"/>
      <c r="AT200" s="1640"/>
      <c r="AW200" s="1640"/>
      <c r="AX200" s="1640"/>
      <c r="AY200" s="1640"/>
      <c r="AZ200" s="1640"/>
      <c r="BB200" s="1640"/>
      <c r="BC200" s="1640"/>
      <c r="BD200" s="1640"/>
      <c r="BE200" s="1640"/>
      <c r="BF200" s="1640"/>
      <c r="BG200" s="1640"/>
      <c r="BH200" s="1640"/>
      <c r="BI200" s="1640"/>
      <c r="BJ200" s="1640"/>
      <c r="BK200" s="1640"/>
      <c r="BL200" s="1640"/>
      <c r="BM200" s="1640"/>
      <c r="BN200" s="1640"/>
      <c r="BO200" s="1640">
        <v>11</v>
      </c>
    </row>
    <row customHeight="1" ht="11.549999999999999">
      <c r="A201" s="999"/>
      <c r="B201" s="999"/>
      <c r="C201" s="999"/>
      <c r="D201" s="999"/>
      <c r="E201" s="999"/>
      <c r="F201" s="1640"/>
      <c r="H201" s="1640"/>
      <c r="N201" s="1644"/>
      <c r="O201" s="1644"/>
      <c r="P201" s="1644"/>
      <c r="Q201" s="1644"/>
      <c r="R201" s="1644"/>
      <c r="S201" s="1644"/>
      <c r="T201" s="1644"/>
      <c r="U201" s="1644"/>
      <c r="V201" s="1644"/>
      <c r="W201" s="1644"/>
      <c r="X201" s="1644"/>
      <c r="Y201" s="1644"/>
      <c r="Z201" s="1644"/>
      <c r="AA201" s="1644"/>
      <c r="AB201" s="1644"/>
      <c r="AC201" s="1644"/>
      <c r="AD201" s="1644"/>
      <c r="AE201" s="1644"/>
      <c r="AF201" s="1644"/>
      <c r="AG201" s="1644"/>
      <c r="AH201" s="1644"/>
      <c r="AI201" s="1644"/>
      <c r="AJ201" s="1644"/>
      <c r="AK201" s="1644"/>
      <c r="AL201" s="1644"/>
      <c r="AM201" s="1644"/>
      <c r="AN201" s="1644"/>
      <c r="AO201" s="1644"/>
      <c r="AP201" s="1644"/>
      <c r="AQ201" s="1644"/>
      <c r="AR201" s="1640"/>
      <c r="AT201" s="1640"/>
      <c r="AW201" s="1640"/>
      <c r="AX201" s="1640"/>
      <c r="AY201" s="1640"/>
      <c r="AZ201" s="1640"/>
      <c r="BB201" s="1640"/>
      <c r="BC201" s="1640"/>
      <c r="BD201" s="1640"/>
      <c r="BE201" s="1640"/>
      <c r="BF201" s="1640"/>
      <c r="BG201" s="1640"/>
      <c r="BH201" s="1640"/>
      <c r="BI201" s="1640"/>
      <c r="BJ201" s="1640"/>
      <c r="BK201" s="1640"/>
      <c r="BL201" s="1640"/>
      <c r="BM201" s="1640"/>
      <c r="BN201" s="1640"/>
      <c r="BO201" s="1640">
        <v>11</v>
      </c>
    </row>
    <row customHeight="1" ht="11.549999999999999">
      <c r="A202" s="999"/>
      <c r="B202" s="999"/>
      <c r="C202" s="999"/>
      <c r="D202" s="999"/>
      <c r="E202" s="999"/>
      <c r="F202" s="1640"/>
      <c r="H202" s="1640"/>
      <c r="N202" s="1644"/>
      <c r="O202" s="1644"/>
      <c r="P202" s="1644"/>
      <c r="Q202" s="1644"/>
      <c r="R202" s="1644"/>
      <c r="S202" s="1644"/>
      <c r="T202" s="1644"/>
      <c r="U202" s="1644"/>
      <c r="V202" s="1644"/>
      <c r="W202" s="1644"/>
      <c r="X202" s="1644"/>
      <c r="Y202" s="1644"/>
      <c r="Z202" s="1644"/>
      <c r="AA202" s="1644"/>
      <c r="AB202" s="1644"/>
      <c r="AC202" s="1644"/>
      <c r="AD202" s="1644"/>
      <c r="AE202" s="1644"/>
      <c r="AF202" s="1644"/>
      <c r="AG202" s="1644"/>
      <c r="AH202" s="1644"/>
      <c r="AI202" s="1644"/>
      <c r="AJ202" s="1644"/>
      <c r="AK202" s="1644"/>
      <c r="AL202" s="1644"/>
      <c r="AM202" s="1644"/>
      <c r="AN202" s="1644"/>
      <c r="AO202" s="1644"/>
      <c r="AP202" s="1644"/>
      <c r="AQ202" s="1644"/>
      <c r="AR202" s="1640"/>
      <c r="AT202" s="1640"/>
      <c r="AW202" s="1640"/>
      <c r="AX202" s="1640"/>
      <c r="AY202" s="1640"/>
      <c r="AZ202" s="1640"/>
      <c r="BB202" s="1640"/>
      <c r="BC202" s="1640"/>
      <c r="BD202" s="1640"/>
      <c r="BE202" s="1640"/>
      <c r="BF202" s="1640"/>
      <c r="BG202" s="1640"/>
      <c r="BH202" s="1640"/>
      <c r="BI202" s="1640"/>
      <c r="BJ202" s="1640"/>
      <c r="BK202" s="1640"/>
      <c r="BL202" s="1640"/>
      <c r="BM202" s="1640"/>
      <c r="BN202" s="1640"/>
      <c r="BO202" s="1640">
        <v>11</v>
      </c>
    </row>
    <row customHeight="1" ht="11.549999999999999">
      <c r="A203" s="999"/>
      <c r="B203" s="999"/>
      <c r="C203" s="999"/>
      <c r="D203" s="999"/>
      <c r="E203" s="999"/>
      <c r="F203" s="1640"/>
      <c r="H203" s="1640"/>
      <c r="N203" s="1644"/>
      <c r="O203" s="1644"/>
      <c r="P203" s="1644"/>
      <c r="Q203" s="1644"/>
      <c r="R203" s="1644"/>
      <c r="S203" s="1644"/>
      <c r="T203" s="1644"/>
      <c r="U203" s="1644"/>
      <c r="V203" s="1644"/>
      <c r="W203" s="1644"/>
      <c r="X203" s="1644"/>
      <c r="Y203" s="1644"/>
      <c r="Z203" s="1644"/>
      <c r="AA203" s="1644"/>
      <c r="AB203" s="1644"/>
      <c r="AC203" s="1644"/>
      <c r="AD203" s="1644"/>
      <c r="AE203" s="1644"/>
      <c r="AF203" s="1644"/>
      <c r="AG203" s="1644"/>
      <c r="AH203" s="1644"/>
      <c r="AI203" s="1644"/>
      <c r="AJ203" s="1644"/>
      <c r="AK203" s="1644"/>
      <c r="AL203" s="1644"/>
      <c r="AM203" s="1644"/>
      <c r="AN203" s="1644"/>
      <c r="AO203" s="1644"/>
      <c r="AP203" s="1644"/>
      <c r="AQ203" s="1644"/>
      <c r="AR203" s="1640"/>
      <c r="AT203" s="1640"/>
      <c r="AW203" s="1640"/>
      <c r="AX203" s="1640"/>
      <c r="AY203" s="1640"/>
      <c r="AZ203" s="1640"/>
      <c r="BB203" s="1640"/>
      <c r="BC203" s="1640"/>
      <c r="BD203" s="1640"/>
      <c r="BE203" s="1640"/>
      <c r="BF203" s="1640"/>
      <c r="BG203" s="1640"/>
      <c r="BH203" s="1640"/>
      <c r="BI203" s="1640"/>
      <c r="BJ203" s="1640"/>
      <c r="BK203" s="1640"/>
      <c r="BL203" s="1640"/>
      <c r="BM203" s="1640"/>
      <c r="BN203" s="1640"/>
      <c r="BO203" s="1640">
        <v>11</v>
      </c>
    </row>
    <row customHeight="1" ht="12.75" hidden="1">
      <c r="A204" s="996" t="s">
        <v>82</v>
      </c>
      <c r="B204" s="996" t="s">
        <v>139</v>
      </c>
      <c r="C204" s="996" t="s">
        <v>139</v>
      </c>
      <c r="D204" s="996" t="s">
        <v>139</v>
      </c>
      <c r="E204" s="996" t="s">
        <v>139</v>
      </c>
      <c r="F204" s="1644">
        <v>16</v>
      </c>
      <c r="G204" s="1645">
        <v>0</v>
      </c>
      <c r="H204" s="1644">
        <v>3</v>
      </c>
      <c r="I204" s="1640">
        <v>7</v>
      </c>
      <c r="J204" s="1640">
        <v>56</v>
      </c>
      <c r="K204" s="1640">
        <v>10</v>
      </c>
      <c r="L204" s="1640">
        <v>40</v>
      </c>
      <c r="M204" s="1640">
        <v>40</v>
      </c>
      <c r="N204" s="1644">
        <v>40</v>
      </c>
      <c r="O204" s="1644">
        <v>40</v>
      </c>
      <c r="P204" s="1644">
        <v>40</v>
      </c>
      <c r="Q204" s="1644">
        <v>40</v>
      </c>
      <c r="R204" s="1644">
        <v>40</v>
      </c>
      <c r="S204" s="1644">
        <v>40</v>
      </c>
      <c r="T204" s="1644">
        <v>40</v>
      </c>
      <c r="U204" s="1644">
        <v>40</v>
      </c>
      <c r="V204" s="1644">
        <v>40</v>
      </c>
      <c r="W204" s="1644">
        <v>40</v>
      </c>
      <c r="X204" s="1644">
        <v>40</v>
      </c>
      <c r="Y204" s="1644">
        <v>40</v>
      </c>
      <c r="Z204" s="1644">
        <v>40</v>
      </c>
      <c r="AA204" s="1644">
        <v>40</v>
      </c>
      <c r="AB204" s="1644">
        <v>40</v>
      </c>
      <c r="AC204" s="1644">
        <v>40</v>
      </c>
      <c r="AD204" s="1644">
        <v>40</v>
      </c>
      <c r="AE204" s="1644">
        <v>40</v>
      </c>
      <c r="AF204" s="1644">
        <v>40</v>
      </c>
      <c r="AG204" s="1644">
        <v>40</v>
      </c>
      <c r="AH204" s="1644">
        <v>40</v>
      </c>
      <c r="AI204" s="1644">
        <v>40</v>
      </c>
      <c r="AJ204" s="1644">
        <v>40</v>
      </c>
      <c r="AK204" s="1644">
        <v>40</v>
      </c>
      <c r="AL204" s="1644">
        <v>40</v>
      </c>
      <c r="AM204" s="1644">
        <v>40</v>
      </c>
      <c r="AN204" s="1644">
        <v>40</v>
      </c>
      <c r="AO204" s="1644">
        <v>40</v>
      </c>
      <c r="AP204" s="1644">
        <v>40</v>
      </c>
      <c r="AQ204" s="1644">
        <v>40</v>
      </c>
      <c r="AR204" s="1375">
        <v>9</v>
      </c>
      <c r="AS204" s="1640">
        <v>102</v>
      </c>
      <c r="AT204" s="1375">
        <v>9</v>
      </c>
      <c r="AU204" s="1645">
        <v>5</v>
      </c>
      <c r="AV204" s="1645">
        <v>3</v>
      </c>
      <c r="AW204" s="1375">
        <v>3</v>
      </c>
      <c r="AX204" s="1375">
        <v>3</v>
      </c>
      <c r="AY204" s="1375">
        <v>3</v>
      </c>
      <c r="AZ204" s="1375">
        <v>3</v>
      </c>
      <c r="BA204" s="1645">
        <v>10</v>
      </c>
      <c r="BB204" s="1375">
        <v>34</v>
      </c>
      <c r="BC204" s="1375">
        <v>9</v>
      </c>
      <c r="BD204" s="553">
        <v>8</v>
      </c>
      <c r="BE204" s="1375">
        <v>8</v>
      </c>
      <c r="BF204" s="1375">
        <v>8</v>
      </c>
      <c r="BG204" s="1375">
        <v>8</v>
      </c>
      <c r="BH204" s="1375">
        <v>8</v>
      </c>
      <c r="BI204" s="1375">
        <v>8</v>
      </c>
      <c r="BJ204" s="1641">
        <v>8</v>
      </c>
      <c r="BK204" s="1641">
        <v>8</v>
      </c>
      <c r="BL204" s="1641">
        <v>8</v>
      </c>
      <c r="BM204" s="1641">
        <v>8</v>
      </c>
      <c r="BN204" s="1641">
        <v>8</v>
      </c>
      <c r="BO204" s="1640">
        <v>11</v>
      </c>
    </row>
  </sheetData>
  <sheetProtection sort="0" autoFilter="0" insertRows="0" insertColumns="1" deleteRows="0" deleteColumns="0"/>
  <mergeCells count="7">
    <mergeCell ref="I6:M6"/>
    <mergeCell ref="I7:M7"/>
    <mergeCell ref="J10:K10"/>
    <mergeCell ref="AS10:AS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AQ15 L34:AQ34">
      <formula1>900</formula1>
    </dataValidation>
    <dataValidation type="whole" allowBlank="1" showErrorMessage="1" errorTitle="Ошибка" error="Допускается ввод только неотрицательных целых чисел!" sqref="L30:A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AQ17">
      <formula1>900</formula1>
    </dataValidation>
    <dataValidation type="decimal" allowBlank="1" showErrorMessage="1" errorTitle="Ошибка" error="Допускается ввод только неотрицательных чисел!" sqref="L32:AQ33 L19:AQ29 L16:AQ16 L2:AQ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9BDF71-E6A7-2D49-9B0D-0.548B52D9}"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790</v>
      </c>
      <c r="C2" s="2062" t="s">
        <v>791</v>
      </c>
      <c r="D2" s="2061" t="s">
        <v>730</v>
      </c>
      <c r="E2" s="2067">
        <f>I2-3</f>
        <v>-3</v>
      </c>
      <c r="F2" s="2067">
        <f>J2</f>
        <v>0</v>
      </c>
      <c r="H2" s="1739" t="s">
        <v>121</v>
      </c>
      <c r="I2" s="2033"/>
      <c r="J2" s="1691"/>
      <c r="K2" s="2027" t="s">
        <v>379</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792</v>
      </c>
      <c r="J5" s="2257"/>
      <c r="K5" s="2257"/>
      <c r="L5" s="2257"/>
      <c r="M5" s="275"/>
      <c r="W5" s="1640">
        <v>48</v>
      </c>
    </row>
    <row customHeight="1" ht="18">
      <c r="H6" s="385"/>
      <c r="I6" s="2258" t="str">
        <f>IF(org=0,"Не определено",org)</f>
        <v>ООО "СамРЭК-Тепло Жигулевск"</v>
      </c>
      <c r="J6" s="2258"/>
      <c r="K6" s="2258"/>
      <c r="L6" s="2258"/>
      <c r="M6" s="275"/>
      <c r="W6" s="1640">
        <v>17</v>
      </c>
    </row>
    <row customHeight="1" ht="14.699999999999998">
      <c r="H7" s="385"/>
      <c r="I7" s="466"/>
      <c r="J7" s="472"/>
      <c r="K7" s="472"/>
      <c r="L7" s="761"/>
      <c r="M7" s="202"/>
      <c r="W7" s="1640">
        <v>14</v>
      </c>
    </row>
    <row customHeight="1" ht="14.699999999999998">
      <c r="H8" s="385"/>
      <c r="I8" s="2395" t="s">
        <v>373</v>
      </c>
      <c r="J8" s="2396"/>
      <c r="K8" s="2396"/>
      <c r="L8" s="2397"/>
      <c r="M8" s="2398" t="s">
        <v>374</v>
      </c>
      <c r="W8" s="1640">
        <v>14</v>
      </c>
    </row>
    <row customHeight="1" ht="35.699999999999996">
      <c r="E9" s="2060" t="s">
        <v>721</v>
      </c>
      <c r="F9" s="2060" t="s">
        <v>727</v>
      </c>
      <c r="H9" s="385"/>
      <c r="I9" s="2034" t="s">
        <v>88</v>
      </c>
      <c r="J9" s="2035" t="s">
        <v>375</v>
      </c>
      <c r="K9" s="2073" t="s">
        <v>639</v>
      </c>
      <c r="L9" s="2074" t="s">
        <v>376</v>
      </c>
      <c r="M9" s="2398"/>
      <c r="W9" s="1640">
        <v>34</v>
      </c>
    </row>
    <row customHeight="1" ht="35.699999999999996">
      <c r="B10" s="2062" t="s">
        <v>793</v>
      </c>
      <c r="C10" s="2062" t="s">
        <v>794</v>
      </c>
      <c r="D10" s="2061" t="s">
        <v>730</v>
      </c>
      <c r="E10" s="2065" t="s">
        <v>731</v>
      </c>
      <c r="F10" s="2065" t="s">
        <v>731</v>
      </c>
      <c r="H10" s="385"/>
      <c r="I10" s="2033" t="s">
        <v>109</v>
      </c>
      <c r="J10" s="1895" t="s">
        <v>795</v>
      </c>
      <c r="K10" s="2027" t="s">
        <v>379</v>
      </c>
      <c r="L10" s="827"/>
      <c r="M10" s="306" t="s">
        <v>796</v>
      </c>
      <c r="W10" s="1640">
        <v>34</v>
      </c>
    </row>
    <row customHeight="1" ht="50.25">
      <c r="B11" s="2062" t="s">
        <v>797</v>
      </c>
      <c r="C11" s="2062" t="s">
        <v>798</v>
      </c>
      <c r="D11" s="2061" t="s">
        <v>730</v>
      </c>
      <c r="E11" s="2065" t="s">
        <v>731</v>
      </c>
      <c r="F11" s="2065" t="s">
        <v>731</v>
      </c>
      <c r="H11" s="385"/>
      <c r="I11" s="2033" t="s">
        <v>110</v>
      </c>
      <c r="J11" s="1895" t="s">
        <v>799</v>
      </c>
      <c r="K11" s="2027" t="s">
        <v>379</v>
      </c>
      <c r="L11" s="827"/>
      <c r="M11" s="306" t="s">
        <v>796</v>
      </c>
      <c r="W11" s="1640">
        <v>48</v>
      </c>
    </row>
    <row customHeight="1" ht="48.29999999999999">
      <c r="B12" s="2062" t="s">
        <v>800</v>
      </c>
      <c r="C12" s="2062" t="s">
        <v>801</v>
      </c>
      <c r="D12" s="2061" t="s">
        <v>730</v>
      </c>
      <c r="E12" s="2065" t="s">
        <v>731</v>
      </c>
      <c r="F12" s="2065" t="s">
        <v>731</v>
      </c>
      <c r="H12" s="1697"/>
      <c r="I12" s="2033" t="s">
        <v>90</v>
      </c>
      <c r="J12" s="2040" t="s">
        <v>802</v>
      </c>
      <c r="K12" s="2027" t="s">
        <v>379</v>
      </c>
      <c r="L12" s="827"/>
      <c r="M12" s="306" t="s">
        <v>803</v>
      </c>
      <c r="N12" s="1633"/>
      <c r="P12" s="1640"/>
      <c r="W12" s="1640">
        <v>46</v>
      </c>
    </row>
    <row customHeight="1" ht="14.699999999999998">
      <c r="E13" s="352"/>
      <c r="H13" s="385"/>
      <c r="I13" s="356"/>
      <c r="J13" s="660" t="s">
        <v>804</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82</v>
      </c>
      <c r="B16" s="1640">
        <v>9</v>
      </c>
      <c r="C16" s="1640">
        <v>9</v>
      </c>
      <c r="D16" s="1640">
        <v>9</v>
      </c>
      <c r="E16" s="2039" t="s">
        <v>136</v>
      </c>
      <c r="F16" s="2064" t="s">
        <v>136</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58593-9DFF-17A7-A8E3-0.71DE704E}" mc:Ignorable="x14ac xr xr2 xr3">
  <sheetPr>
    <tabColor theme="9" tint="-0.25"/>
  </sheetPr>
  <dimension ref="A1:BJ217"/>
  <sheetViews>
    <sheetView topLeftCell="A1" showGridLines="0" zoomScale="90" workbookViewId="0">
      <selection activeCell="AN9" sqref="AN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39" style="1644" width="40.7109375" customWidth="1"/>
    <col min="40" max="40" style="1644" width="102.00390625" customWidth="1"/>
    <col min="41" max="41" style="1375" width="9.00390625" customWidth="1"/>
    <col min="42" max="42" style="1651" width="5.00390625" customWidth="1"/>
    <col min="43" max="43" style="1651" width="3.00390625" customWidth="1"/>
    <col min="44" max="47" style="1375" width="3.00390625" customWidth="1"/>
    <col min="48" max="48" style="1651" width="10.00390625" customWidth="1"/>
    <col min="49" max="49" style="1375" width="34.00390625" customWidth="1"/>
    <col min="50" max="50" style="1375" width="9.00390625" customWidth="1"/>
    <col min="51" max="51" style="745" width="8.00390625" customWidth="1"/>
    <col min="52" max="56" style="1375" width="8.00390625" customWidth="1"/>
    <col min="57" max="61" style="1641" width="8.00390625" customWidth="1"/>
    <col min="62" max="62" style="1644" width="10.421875" hidden="1" customWidth="1"/>
  </cols>
  <sheetData>
    <row s="1375" customFormat="1" customHeight="1" ht="22.5" hidden="1">
      <c r="A1" s="996"/>
      <c r="C1" s="1645"/>
      <c r="D1" s="546"/>
      <c r="H1" s="1169">
        <v>4</v>
      </c>
      <c r="I1" s="1169">
        <v>4</v>
      </c>
      <c r="J1" s="1375">
        <v>4</v>
      </c>
      <c r="K1" s="1375">
        <v>4</v>
      </c>
      <c r="L1" s="1375">
        <v>4</v>
      </c>
      <c r="M1" s="1375">
        <v>4</v>
      </c>
      <c r="N1" s="1375">
        <v>4</v>
      </c>
      <c r="O1" s="1375">
        <v>4</v>
      </c>
      <c r="P1" s="1375">
        <v>4</v>
      </c>
      <c r="Q1" s="1375">
        <v>4</v>
      </c>
      <c r="R1" s="1375">
        <v>4</v>
      </c>
      <c r="S1" s="1375">
        <v>4</v>
      </c>
      <c r="T1" s="1375">
        <v>4</v>
      </c>
      <c r="U1" s="1375">
        <v>4</v>
      </c>
      <c r="V1" s="1375">
        <v>4</v>
      </c>
      <c r="W1" s="1375">
        <v>4</v>
      </c>
      <c r="X1" s="1375">
        <v>4</v>
      </c>
      <c r="Y1" s="1375">
        <v>4</v>
      </c>
      <c r="Z1" s="1375">
        <v>4</v>
      </c>
      <c r="AA1" s="1375">
        <v>4</v>
      </c>
      <c r="AB1" s="1375">
        <v>4</v>
      </c>
      <c r="AC1" s="1375">
        <v>4</v>
      </c>
      <c r="AD1" s="1375">
        <v>4</v>
      </c>
      <c r="AE1" s="1375">
        <v>4</v>
      </c>
      <c r="AF1" s="1375">
        <v>4</v>
      </c>
      <c r="AG1" s="1375">
        <v>4</v>
      </c>
      <c r="AH1" s="1375">
        <v>4</v>
      </c>
      <c r="AI1" s="1375">
        <v>4</v>
      </c>
      <c r="AJ1" s="1375">
        <v>4</v>
      </c>
      <c r="AK1" s="1375">
        <v>4</v>
      </c>
      <c r="AL1" s="1375">
        <v>4</v>
      </c>
      <c r="AM1" s="1375">
        <v>4</v>
      </c>
      <c r="AP1" s="1645"/>
      <c r="AQ1" s="1645"/>
      <c r="AV1" s="1645"/>
      <c r="BJ1" s="1169" t="s">
        <v>14</v>
      </c>
    </row>
    <row s="1375" customFormat="1" customHeight="1" ht="22.5" hidden="1">
      <c r="A2" s="996"/>
      <c r="C2" s="1645"/>
      <c r="D2" s="547"/>
      <c r="E2" s="1646"/>
      <c r="F2" s="549"/>
      <c r="G2" s="1648" t="s">
        <v>625</v>
      </c>
      <c r="H2" s="550"/>
      <c r="I2" s="550"/>
      <c r="J2" s="760"/>
      <c r="K2" s="760"/>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c r="AM2" s="760"/>
      <c r="AN2" s="551" t="s">
        <v>805</v>
      </c>
      <c r="AO2" s="552"/>
      <c r="AP2" s="1645"/>
      <c r="AQ2" s="1645"/>
      <c r="AV2" s="1645"/>
      <c r="AY2" s="553"/>
      <c r="BE2" s="1641"/>
      <c r="BF2" s="1641"/>
      <c r="BG2" s="1641"/>
      <c r="BH2" s="1641"/>
      <c r="BI2" s="1641"/>
      <c r="BJ2" s="1169">
        <v>0</v>
      </c>
    </row>
    <row customHeight="1" ht="11.25" hidden="1">
      <c r="J3" s="1644"/>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M3" s="1644"/>
      <c r="BJ3" s="1640">
        <v>0</v>
      </c>
    </row>
    <row s="1641" customFormat="1" customHeight="1" ht="11.25" hidden="1">
      <c r="A4" s="996"/>
      <c r="B4" s="1169"/>
      <c r="C4" s="1645"/>
      <c r="D4" s="371"/>
      <c r="J4" s="1641"/>
      <c r="K4" s="1641"/>
      <c r="L4" s="1641"/>
      <c r="M4" s="1641"/>
      <c r="N4" s="1641"/>
      <c r="O4" s="1641"/>
      <c r="P4" s="1641"/>
      <c r="Q4" s="1641"/>
      <c r="R4" s="1641"/>
      <c r="S4" s="1641"/>
      <c r="T4" s="1641"/>
      <c r="U4" s="1641"/>
      <c r="V4" s="1641"/>
      <c r="W4" s="1641"/>
      <c r="X4" s="1641"/>
      <c r="Y4" s="1641"/>
      <c r="Z4" s="1641"/>
      <c r="AA4" s="1641"/>
      <c r="AB4" s="1641"/>
      <c r="AC4" s="1641"/>
      <c r="AD4" s="1641"/>
      <c r="AE4" s="1641"/>
      <c r="AF4" s="1641"/>
      <c r="AG4" s="1641"/>
      <c r="AH4" s="1641"/>
      <c r="AI4" s="1641"/>
      <c r="AJ4" s="1641"/>
      <c r="AK4" s="1641"/>
      <c r="AL4" s="1641"/>
      <c r="AM4" s="1641"/>
      <c r="AN4" s="1641">
        <v>4</v>
      </c>
      <c r="AO4" s="1169"/>
      <c r="AP4" s="1645"/>
      <c r="AQ4" s="1645"/>
      <c r="AR4" s="1169"/>
      <c r="AS4" s="1169"/>
      <c r="AT4" s="1169"/>
      <c r="AU4" s="1169"/>
      <c r="AV4" s="1645"/>
      <c r="AW4" s="1169"/>
      <c r="AX4" s="1169"/>
      <c r="AY4" s="553"/>
      <c r="AZ4" s="1169"/>
      <c r="BA4" s="1169"/>
      <c r="BB4" s="1169"/>
      <c r="BC4" s="1169"/>
      <c r="BD4" s="1169"/>
      <c r="BJ4" s="1641">
        <v>0</v>
      </c>
    </row>
    <row customHeight="1" ht="11.549999999999999">
      <c r="J5" s="1644"/>
      <c r="K5" s="1644"/>
      <c r="L5" s="1644"/>
      <c r="M5" s="1644"/>
      <c r="N5" s="1644"/>
      <c r="O5" s="1644"/>
      <c r="P5" s="1644"/>
      <c r="Q5" s="1644"/>
      <c r="R5" s="1644"/>
      <c r="S5" s="1644"/>
      <c r="T5" s="1644"/>
      <c r="U5" s="1644"/>
      <c r="V5" s="1644"/>
      <c r="W5" s="1644"/>
      <c r="X5" s="1644"/>
      <c r="Y5" s="1644"/>
      <c r="Z5" s="1644"/>
      <c r="AA5" s="1644"/>
      <c r="AB5" s="1644"/>
      <c r="AC5" s="1644"/>
      <c r="AD5" s="1644"/>
      <c r="AE5" s="1644"/>
      <c r="AF5" s="1644"/>
      <c r="AG5" s="1644"/>
      <c r="AH5" s="1644"/>
      <c r="AI5" s="1644"/>
      <c r="AJ5" s="1644"/>
      <c r="AK5" s="1644"/>
      <c r="AL5" s="1644"/>
      <c r="AM5" s="1644"/>
      <c r="BJ5" s="1640">
        <v>11</v>
      </c>
    </row>
    <row customHeight="1" ht="31.5">
      <c r="E6" s="2316" t="s">
        <v>806</v>
      </c>
      <c r="F6" s="2316"/>
      <c r="G6" s="2316"/>
      <c r="H6" s="2316"/>
      <c r="I6" s="2316"/>
      <c r="J6" s="2316"/>
      <c r="K6" s="2316"/>
      <c r="L6" s="2316"/>
      <c r="M6" s="2316"/>
      <c r="N6" s="2316"/>
      <c r="O6" s="2316"/>
      <c r="P6" s="2316"/>
      <c r="Q6" s="2316"/>
      <c r="R6" s="2316"/>
      <c r="S6" s="2316"/>
      <c r="T6" s="2316"/>
      <c r="U6" s="2316"/>
      <c r="V6" s="2316"/>
      <c r="W6" s="2316"/>
      <c r="X6" s="2316"/>
      <c r="Y6" s="2316"/>
      <c r="Z6" s="2316"/>
      <c r="AA6" s="2316"/>
      <c r="AB6" s="2316"/>
      <c r="AC6" s="2316"/>
      <c r="AD6" s="2316"/>
      <c r="AE6" s="2316"/>
      <c r="AF6" s="2316"/>
      <c r="AG6" s="2316"/>
      <c r="AH6" s="2316"/>
      <c r="AI6" s="2316"/>
      <c r="AJ6" s="2316"/>
      <c r="AK6" s="2316"/>
      <c r="AL6" s="2316"/>
      <c r="AM6" s="2316"/>
      <c r="AN6" s="565"/>
      <c r="BJ6" s="1640">
        <v>30</v>
      </c>
    </row>
    <row customHeight="1" ht="11.549999999999999">
      <c r="E7" s="2258" t="str">
        <f>IF(org=0,"Не определено",org)</f>
        <v>ООО "СамРЭК-Тепло Жигулевск"</v>
      </c>
      <c r="F7" s="2258"/>
      <c r="G7" s="2258"/>
      <c r="H7" s="2258"/>
      <c r="I7" s="2258"/>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c r="AH7" s="2258"/>
      <c r="AI7" s="2258"/>
      <c r="AJ7" s="2258"/>
      <c r="AK7" s="2258"/>
      <c r="AL7" s="2258"/>
      <c r="AM7" s="2258"/>
      <c r="BJ7" s="1640">
        <v>11</v>
      </c>
    </row>
    <row customHeight="1" ht="11.549999999999999">
      <c r="E8" s="1144"/>
      <c r="F8" s="1144"/>
      <c r="G8" s="1144"/>
      <c r="H8" s="1144"/>
      <c r="I8" s="1144"/>
      <c r="J8" s="1145" t="s">
        <v>22</v>
      </c>
      <c r="K8" s="1145" t="s">
        <v>22</v>
      </c>
      <c r="L8" s="1145" t="s">
        <v>22</v>
      </c>
      <c r="M8" s="1145" t="s">
        <v>22</v>
      </c>
      <c r="N8" s="1145" t="s">
        <v>22</v>
      </c>
      <c r="O8" s="1145" t="s">
        <v>22</v>
      </c>
      <c r="P8" s="1145" t="s">
        <v>22</v>
      </c>
      <c r="Q8" s="1145" t="s">
        <v>22</v>
      </c>
      <c r="R8" s="1145" t="s">
        <v>22</v>
      </c>
      <c r="S8" s="1145" t="s">
        <v>22</v>
      </c>
      <c r="T8" s="1145" t="s">
        <v>22</v>
      </c>
      <c r="U8" s="1145" t="s">
        <v>22</v>
      </c>
      <c r="V8" s="1145" t="s">
        <v>22</v>
      </c>
      <c r="W8" s="1145" t="s">
        <v>22</v>
      </c>
      <c r="X8" s="1145" t="s">
        <v>22</v>
      </c>
      <c r="Y8" s="1145" t="s">
        <v>22</v>
      </c>
      <c r="Z8" s="1145" t="s">
        <v>22</v>
      </c>
      <c r="AA8" s="1145" t="s">
        <v>22</v>
      </c>
      <c r="AB8" s="1145" t="s">
        <v>22</v>
      </c>
      <c r="AC8" s="1145" t="s">
        <v>22</v>
      </c>
      <c r="AD8" s="1145" t="s">
        <v>22</v>
      </c>
      <c r="AE8" s="1145" t="s">
        <v>22</v>
      </c>
      <c r="AF8" s="1145" t="s">
        <v>22</v>
      </c>
      <c r="AG8" s="1145" t="s">
        <v>22</v>
      </c>
      <c r="AH8" s="1145" t="s">
        <v>22</v>
      </c>
      <c r="AI8" s="1145" t="s">
        <v>22</v>
      </c>
      <c r="AJ8" s="1145" t="s">
        <v>22</v>
      </c>
      <c r="AK8" s="1145" t="s">
        <v>22</v>
      </c>
      <c r="AL8" s="1145" t="s">
        <v>22</v>
      </c>
      <c r="AM8" s="1145" t="s">
        <v>22</v>
      </c>
      <c r="BJ8" s="1640">
        <v>11</v>
      </c>
    </row>
    <row s="1651" customFormat="1" customHeight="1" ht="4.2">
      <c r="A9" s="1176"/>
      <c r="D9" s="1651"/>
      <c r="H9" s="898"/>
      <c r="I9" s="898" t="s">
        <v>118</v>
      </c>
      <c r="J9" s="898" t="s">
        <v>123</v>
      </c>
      <c r="K9" s="898" t="s">
        <v>125</v>
      </c>
      <c r="L9" s="898" t="s">
        <v>127</v>
      </c>
      <c r="M9" s="898" t="s">
        <v>129</v>
      </c>
      <c r="N9" s="898" t="s">
        <v>131</v>
      </c>
      <c r="O9" s="898" t="s">
        <v>133</v>
      </c>
      <c r="P9" s="898" t="s">
        <v>135</v>
      </c>
      <c r="Q9" s="898" t="s">
        <v>138</v>
      </c>
      <c r="R9" s="898" t="s">
        <v>141</v>
      </c>
      <c r="S9" s="898" t="s">
        <v>144</v>
      </c>
      <c r="T9" s="898" t="s">
        <v>147</v>
      </c>
      <c r="U9" s="898" t="s">
        <v>150</v>
      </c>
      <c r="V9" s="898" t="s">
        <v>153</v>
      </c>
      <c r="W9" s="898" t="s">
        <v>156</v>
      </c>
      <c r="X9" s="898" t="s">
        <v>159</v>
      </c>
      <c r="Y9" s="898" t="s">
        <v>162</v>
      </c>
      <c r="Z9" s="898" t="s">
        <v>165</v>
      </c>
      <c r="AA9" s="898" t="s">
        <v>168</v>
      </c>
      <c r="AB9" s="898" t="s">
        <v>171</v>
      </c>
      <c r="AC9" s="898" t="s">
        <v>174</v>
      </c>
      <c r="AD9" s="898" t="s">
        <v>177</v>
      </c>
      <c r="AE9" s="898" t="s">
        <v>180</v>
      </c>
      <c r="AF9" s="898" t="s">
        <v>183</v>
      </c>
      <c r="AG9" s="898" t="s">
        <v>186</v>
      </c>
      <c r="AH9" s="898" t="s">
        <v>189</v>
      </c>
      <c r="AI9" s="898" t="s">
        <v>192</v>
      </c>
      <c r="AJ9" s="898" t="s">
        <v>195</v>
      </c>
      <c r="AK9" s="898" t="s">
        <v>198</v>
      </c>
      <c r="AL9" s="898" t="s">
        <v>200</v>
      </c>
      <c r="AM9" s="898" t="s">
        <v>201</v>
      </c>
      <c r="BJ9" s="1645">
        <v>4</v>
      </c>
    </row>
    <row customHeight="1" ht="11.549999999999999">
      <c r="E10" s="720"/>
      <c r="F10" s="2376" t="s">
        <v>105</v>
      </c>
      <c r="G10" s="2377"/>
      <c r="H10" s="1561" t="str">
        <f>IF(H9="","",INDEX(DIFFERENTIATION_UNMERGE_VD,MATCH(H9,DIFFERENTIATION_ID_DIFF,0)))</f>
        <v/>
      </c>
      <c r="I10" s="1561" t="str">
        <f>IF(I9="","",INDEX(DIFFERENTIATION_UNMERGE_VD,MATCH(I9,DIFFERENTIATION_ID_DIFF,0)))</f>
        <v>Производство тепловой энергии. Некомбинированная выработка</v>
      </c>
      <c r="J10" s="2402" t="str">
        <f>IF(J9="","",INDEX(DIFFERENTIATION_UNMERGE_VD,MATCH(J9,DIFFERENTIATION_ID_DIFF,0)))</f>
        <v>Производство тепловой энергии. Некомбинированная выработка</v>
      </c>
      <c r="K10" s="2402" t="str">
        <f>IF(K9="","",INDEX(DIFFERENTIATION_UNMERGE_VD,MATCH(K9,DIFFERENTIATION_ID_DIFF,0)))</f>
        <v>Производство тепловой энергии. Некомбинированная выработка</v>
      </c>
      <c r="L10" s="2402" t="str">
        <f>IF(L9="","",INDEX(DIFFERENTIATION_UNMERGE_VD,MATCH(L9,DIFFERENTIATION_ID_DIFF,0)))</f>
        <v>Производство тепловой энергии. Некомбинированная выработка</v>
      </c>
      <c r="M10" s="2402" t="str">
        <f>IF(M9="","",INDEX(DIFFERENTIATION_UNMERGE_VD,MATCH(M9,DIFFERENTIATION_ID_DIFF,0)))</f>
        <v>Производство тепловой энергии. Некомбинированная выработка</v>
      </c>
      <c r="N10" s="2402" t="str">
        <f>IF(N9="","",INDEX(DIFFERENTIATION_UNMERGE_VD,MATCH(N9,DIFFERENTIATION_ID_DIFF,0)))</f>
        <v>Производство тепловой энергии. Некомбинированная выработка</v>
      </c>
      <c r="O10" s="2402" t="str">
        <f>IF(O9="","",INDEX(DIFFERENTIATION_UNMERGE_VD,MATCH(O9,DIFFERENTIATION_ID_DIFF,0)))</f>
        <v>Производство тепловой энергии. Некомбинированная выработка</v>
      </c>
      <c r="P10" s="2402" t="str">
        <f>IF(P9="","",INDEX(DIFFERENTIATION_UNMERGE_VD,MATCH(P9,DIFFERENTIATION_ID_DIFF,0)))</f>
        <v>Производство тепловой энергии. Некомбинированная выработка</v>
      </c>
      <c r="Q10" s="2402" t="str">
        <f>IF(Q9="","",INDEX(DIFFERENTIATION_UNMERGE_VD,MATCH(Q9,DIFFERENTIATION_ID_DIFF,0)))</f>
        <v>Производство тепловой энергии. Некомбинированная выработка</v>
      </c>
      <c r="R10" s="2402" t="str">
        <f>IF(R9="","",INDEX(DIFFERENTIATION_UNMERGE_VD,MATCH(R9,DIFFERENTIATION_ID_DIFF,0)))</f>
        <v>Производство тепловой энергии. Некомбинированная выработка</v>
      </c>
      <c r="S10" s="2402" t="str">
        <f>IF(S9="","",INDEX(DIFFERENTIATION_UNMERGE_VD,MATCH(S9,DIFFERENTIATION_ID_DIFF,0)))</f>
        <v>Производство тепловой энергии. Некомбинированная выработка</v>
      </c>
      <c r="T10" s="2402" t="str">
        <f>IF(T9="","",INDEX(DIFFERENTIATION_UNMERGE_VD,MATCH(T9,DIFFERENTIATION_ID_DIFF,0)))</f>
        <v>Производство тепловой энергии. Некомбинированная выработка</v>
      </c>
      <c r="U10" s="2402" t="str">
        <f>IF(U9="","",INDEX(DIFFERENTIATION_UNMERGE_VD,MATCH(U9,DIFFERENTIATION_ID_DIFF,0)))</f>
        <v>Производство тепловой энергии. Некомбинированная выработка</v>
      </c>
      <c r="V10" s="2402" t="str">
        <f>IF(V9="","",INDEX(DIFFERENTIATION_UNMERGE_VD,MATCH(V9,DIFFERENTIATION_ID_DIFF,0)))</f>
        <v>Производство тепловой энергии. Некомбинированная выработка</v>
      </c>
      <c r="W10" s="2402" t="str">
        <f>IF(W9="","",INDEX(DIFFERENTIATION_UNMERGE_VD,MATCH(W9,DIFFERENTIATION_ID_DIFF,0)))</f>
        <v>Производство тепловой энергии. Некомбинированная выработка</v>
      </c>
      <c r="X10" s="2402" t="str">
        <f>IF(X9="","",INDEX(DIFFERENTIATION_UNMERGE_VD,MATCH(X9,DIFFERENTIATION_ID_DIFF,0)))</f>
        <v>Производство тепловой энергии. Некомбинированная выработка</v>
      </c>
      <c r="Y10" s="2402" t="str">
        <f>IF(Y9="","",INDEX(DIFFERENTIATION_UNMERGE_VD,MATCH(Y9,DIFFERENTIATION_ID_DIFF,0)))</f>
        <v>Производство тепловой энергии. Некомбинированная выработка</v>
      </c>
      <c r="Z10" s="2402" t="str">
        <f>IF(Z9="","",INDEX(DIFFERENTIATION_UNMERGE_VD,MATCH(Z9,DIFFERENTIATION_ID_DIFF,0)))</f>
        <v>Производство тепловой энергии. Некомбинированная выработка</v>
      </c>
      <c r="AA10" s="2402" t="str">
        <f>IF(AA9="","",INDEX(DIFFERENTIATION_UNMERGE_VD,MATCH(AA9,DIFFERENTIATION_ID_DIFF,0)))</f>
        <v>Производство тепловой энергии. Некомбинированная выработка</v>
      </c>
      <c r="AB10" s="2402" t="str">
        <f>IF(AB9="","",INDEX(DIFFERENTIATION_UNMERGE_VD,MATCH(AB9,DIFFERENTIATION_ID_DIFF,0)))</f>
        <v>Производство тепловой энергии. Некомбинированная выработка</v>
      </c>
      <c r="AC10" s="2402" t="str">
        <f>IF(AC9="","",INDEX(DIFFERENTIATION_UNMERGE_VD,MATCH(AC9,DIFFERENTIATION_ID_DIFF,0)))</f>
        <v>Производство тепловой энергии. Некомбинированная выработка</v>
      </c>
      <c r="AD10" s="2402" t="str">
        <f>IF(AD9="","",INDEX(DIFFERENTIATION_UNMERGE_VD,MATCH(AD9,DIFFERENTIATION_ID_DIFF,0)))</f>
        <v>Производство тепловой энергии. Некомбинированная выработка</v>
      </c>
      <c r="AE10" s="2402" t="str">
        <f>IF(AE9="","",INDEX(DIFFERENTIATION_UNMERGE_VD,MATCH(AE9,DIFFERENTIATION_ID_DIFF,0)))</f>
        <v>Производство тепловой энергии. Некомбинированная выработка</v>
      </c>
      <c r="AF10" s="2402" t="str">
        <f>IF(AF9="","",INDEX(DIFFERENTIATION_UNMERGE_VD,MATCH(AF9,DIFFERENTIATION_ID_DIFF,0)))</f>
        <v>Производство тепловой энергии. Некомбинированная выработка</v>
      </c>
      <c r="AG10" s="2402" t="str">
        <f>IF(AG9="","",INDEX(DIFFERENTIATION_UNMERGE_VD,MATCH(AG9,DIFFERENTIATION_ID_DIFF,0)))</f>
        <v>Производство тепловой энергии. Некомбинированная выработка</v>
      </c>
      <c r="AH10" s="2402" t="str">
        <f>IF(AH9="","",INDEX(DIFFERENTIATION_UNMERGE_VD,MATCH(AH9,DIFFERENTIATION_ID_DIFF,0)))</f>
        <v>Производство тепловой энергии. Некомбинированная выработка</v>
      </c>
      <c r="AI10" s="2402" t="str">
        <f>IF(AI9="","",INDEX(DIFFERENTIATION_UNMERGE_VD,MATCH(AI9,DIFFERENTIATION_ID_DIFF,0)))</f>
        <v>Производство тепловой энергии. Некомбинированная выработка</v>
      </c>
      <c r="AJ10" s="2402" t="str">
        <f>IF(AJ9="","",INDEX(DIFFERENTIATION_UNMERGE_VD,MATCH(AJ9,DIFFERENTIATION_ID_DIFF,0)))</f>
        <v>Производство тепловой энергии. Некомбинированная выработка</v>
      </c>
      <c r="AK10" s="2402" t="str">
        <f>IF(AK9="","",INDEX(DIFFERENTIATION_UNMERGE_VD,MATCH(AK9,DIFFERENTIATION_ID_DIFF,0)))</f>
        <v>Производство. Теплоноситель</v>
      </c>
      <c r="AL10" s="2402" t="str">
        <f>IF(AL9="","",INDEX(DIFFERENTIATION_UNMERGE_VD,MATCH(AL9,DIFFERENTIATION_ID_DIFF,0)))</f>
        <v>Производство. Теплоноситель</v>
      </c>
      <c r="AM10" s="2402" t="str">
        <f>IF(AM9="","",INDEX(DIFFERENTIATION_UNMERGE_VD,MATCH(AM9,DIFFERENTIATION_ID_DIFF,0)))</f>
        <v>Производство. Теплоноситель</v>
      </c>
      <c r="AN10" s="2136"/>
      <c r="BJ10" s="1640">
        <v>11</v>
      </c>
    </row>
    <row customHeight="1" ht="11.549999999999999">
      <c r="E11" s="720"/>
      <c r="F11" s="2376" t="s">
        <v>637</v>
      </c>
      <c r="G11" s="2377"/>
      <c r="H11" s="1561" t="str">
        <f>IF(H9="","",INDEX(DIFFERENTIATION_UNMERGE_AREA,MATCH(H9,DIFFERENTIATION_ID_DIFF,0)))</f>
        <v/>
      </c>
      <c r="I11" s="1561" t="str">
        <f>IF(I9="","",INDEX(DIFFERENTIATION_UNMERGE_AREA,MATCH(I9,DIFFERENTIATION_ID_DIFF,0)))</f>
        <v>Территория 1</v>
      </c>
      <c r="J11" s="2402" t="str">
        <f>IF(J9="","",INDEX(DIFFERENTIATION_UNMERGE_AREA,MATCH(J9,DIFFERENTIATION_ID_DIFF,0)))</f>
        <v>Территория 1</v>
      </c>
      <c r="K11" s="2402" t="str">
        <f>IF(K9="","",INDEX(DIFFERENTIATION_UNMERGE_AREA,MATCH(K9,DIFFERENTIATION_ID_DIFF,0)))</f>
        <v>Территория 1</v>
      </c>
      <c r="L11" s="2402" t="str">
        <f>IF(L9="","",INDEX(DIFFERENTIATION_UNMERGE_AREA,MATCH(L9,DIFFERENTIATION_ID_DIFF,0)))</f>
        <v>Территория 1</v>
      </c>
      <c r="M11" s="2402" t="str">
        <f>IF(M9="","",INDEX(DIFFERENTIATION_UNMERGE_AREA,MATCH(M9,DIFFERENTIATION_ID_DIFF,0)))</f>
        <v>Территория 1</v>
      </c>
      <c r="N11" s="2402" t="str">
        <f>IF(N9="","",INDEX(DIFFERENTIATION_UNMERGE_AREA,MATCH(N9,DIFFERENTIATION_ID_DIFF,0)))</f>
        <v>Территория 1</v>
      </c>
      <c r="O11" s="2402" t="str">
        <f>IF(O9="","",INDEX(DIFFERENTIATION_UNMERGE_AREA,MATCH(O9,DIFFERENTIATION_ID_DIFF,0)))</f>
        <v>Территория 1</v>
      </c>
      <c r="P11" s="2402" t="str">
        <f>IF(P9="","",INDEX(DIFFERENTIATION_UNMERGE_AREA,MATCH(P9,DIFFERENTIATION_ID_DIFF,0)))</f>
        <v>Территория 1</v>
      </c>
      <c r="Q11" s="2402" t="str">
        <f>IF(Q9="","",INDEX(DIFFERENTIATION_UNMERGE_AREA,MATCH(Q9,DIFFERENTIATION_ID_DIFF,0)))</f>
        <v>Территория 1</v>
      </c>
      <c r="R11" s="2402" t="str">
        <f>IF(R9="","",INDEX(DIFFERENTIATION_UNMERGE_AREA,MATCH(R9,DIFFERENTIATION_ID_DIFF,0)))</f>
        <v>Территория 1</v>
      </c>
      <c r="S11" s="2402" t="str">
        <f>IF(S9="","",INDEX(DIFFERENTIATION_UNMERGE_AREA,MATCH(S9,DIFFERENTIATION_ID_DIFF,0)))</f>
        <v>Территория 1</v>
      </c>
      <c r="T11" s="2402" t="str">
        <f>IF(T9="","",INDEX(DIFFERENTIATION_UNMERGE_AREA,MATCH(T9,DIFFERENTIATION_ID_DIFF,0)))</f>
        <v>Территория 1</v>
      </c>
      <c r="U11" s="2402" t="str">
        <f>IF(U9="","",INDEX(DIFFERENTIATION_UNMERGE_AREA,MATCH(U9,DIFFERENTIATION_ID_DIFF,0)))</f>
        <v>Территория 1</v>
      </c>
      <c r="V11" s="2402" t="str">
        <f>IF(V9="","",INDEX(DIFFERENTIATION_UNMERGE_AREA,MATCH(V9,DIFFERENTIATION_ID_DIFF,0)))</f>
        <v>Территория 1</v>
      </c>
      <c r="W11" s="2402" t="str">
        <f>IF(W9="","",INDEX(DIFFERENTIATION_UNMERGE_AREA,MATCH(W9,DIFFERENTIATION_ID_DIFF,0)))</f>
        <v>Территория 1</v>
      </c>
      <c r="X11" s="2402" t="str">
        <f>IF(X9="","",INDEX(DIFFERENTIATION_UNMERGE_AREA,MATCH(X9,DIFFERENTIATION_ID_DIFF,0)))</f>
        <v>Территория 1</v>
      </c>
      <c r="Y11" s="2402" t="str">
        <f>IF(Y9="","",INDEX(DIFFERENTIATION_UNMERGE_AREA,MATCH(Y9,DIFFERENTIATION_ID_DIFF,0)))</f>
        <v>Территория 1</v>
      </c>
      <c r="Z11" s="2402" t="str">
        <f>IF(Z9="","",INDEX(DIFFERENTIATION_UNMERGE_AREA,MATCH(Z9,DIFFERENTIATION_ID_DIFF,0)))</f>
        <v>Территория 1</v>
      </c>
      <c r="AA11" s="2402" t="str">
        <f>IF(AA9="","",INDEX(DIFFERENTIATION_UNMERGE_AREA,MATCH(AA9,DIFFERENTIATION_ID_DIFF,0)))</f>
        <v>Территория 1</v>
      </c>
      <c r="AB11" s="2402" t="str">
        <f>IF(AB9="","",INDEX(DIFFERENTIATION_UNMERGE_AREA,MATCH(AB9,DIFFERENTIATION_ID_DIFF,0)))</f>
        <v>Территория 1</v>
      </c>
      <c r="AC11" s="2402" t="str">
        <f>IF(AC9="","",INDEX(DIFFERENTIATION_UNMERGE_AREA,MATCH(AC9,DIFFERENTIATION_ID_DIFF,0)))</f>
        <v>Территория 1</v>
      </c>
      <c r="AD11" s="2402" t="str">
        <f>IF(AD9="","",INDEX(DIFFERENTIATION_UNMERGE_AREA,MATCH(AD9,DIFFERENTIATION_ID_DIFF,0)))</f>
        <v>Территория 1</v>
      </c>
      <c r="AE11" s="2402" t="str">
        <f>IF(AE9="","",INDEX(DIFFERENTIATION_UNMERGE_AREA,MATCH(AE9,DIFFERENTIATION_ID_DIFF,0)))</f>
        <v>Территория 1</v>
      </c>
      <c r="AF11" s="2402" t="str">
        <f>IF(AF9="","",INDEX(DIFFERENTIATION_UNMERGE_AREA,MATCH(AF9,DIFFERENTIATION_ID_DIFF,0)))</f>
        <v>Территория 1</v>
      </c>
      <c r="AG11" s="2402" t="str">
        <f>IF(AG9="","",INDEX(DIFFERENTIATION_UNMERGE_AREA,MATCH(AG9,DIFFERENTIATION_ID_DIFF,0)))</f>
        <v>Территория 1</v>
      </c>
      <c r="AH11" s="2402" t="str">
        <f>IF(AH9="","",INDEX(DIFFERENTIATION_UNMERGE_AREA,MATCH(AH9,DIFFERENTIATION_ID_DIFF,0)))</f>
        <v>Территория 1</v>
      </c>
      <c r="AI11" s="2402" t="str">
        <f>IF(AI9="","",INDEX(DIFFERENTIATION_UNMERGE_AREA,MATCH(AI9,DIFFERENTIATION_ID_DIFF,0)))</f>
        <v>Территория 1</v>
      </c>
      <c r="AJ11" s="2402" t="str">
        <f>IF(AJ9="","",INDEX(DIFFERENTIATION_UNMERGE_AREA,MATCH(AJ9,DIFFERENTIATION_ID_DIFF,0)))</f>
        <v>Территория 1</v>
      </c>
      <c r="AK11" s="2402" t="str">
        <f>IF(AK9="","",INDEX(DIFFERENTIATION_UNMERGE_AREA,MATCH(AK9,DIFFERENTIATION_ID_DIFF,0)))</f>
        <v>Территория 1</v>
      </c>
      <c r="AL11" s="2402" t="str">
        <f>IF(AL9="","",INDEX(DIFFERENTIATION_UNMERGE_AREA,MATCH(AL9,DIFFERENTIATION_ID_DIFF,0)))</f>
        <v>Территория 1</v>
      </c>
      <c r="AM11" s="2402" t="str">
        <f>IF(AM9="","",INDEX(DIFFERENTIATION_UNMERGE_AREA,MATCH(AM9,DIFFERENTIATION_ID_DIFF,0)))</f>
        <v>Территория 1</v>
      </c>
      <c r="AN11" s="2136"/>
      <c r="BJ11" s="1640">
        <v>11</v>
      </c>
    </row>
    <row customHeight="1" ht="1.05">
      <c r="E12" s="1671"/>
      <c r="F12" s="2399" t="s">
        <v>638</v>
      </c>
      <c r="G12" s="2400"/>
      <c r="H12" s="1672" t="str">
        <f>IF(H9="","",INDEX(DIFFERENTIATION_UNMERGE_SYSTEM,MATCH(H9,DIFFERENTIATION_ID_DIFF,0)))</f>
        <v/>
      </c>
      <c r="I12" s="1672" t="str">
        <f>IF(I9="","",INDEX(DIFFERENTIATION_UNMERGE_SYSTEM,MATCH(I9,DIFFERENTIATION_ID_DIFF,0)))</f>
        <v>Котельная №1 по ул.Ново-Самарская, д.12</v>
      </c>
      <c r="J12" s="1672" t="str">
        <f>IF(J9="","",INDEX(DIFFERENTIATION_UNMERGE_SYSTEM,MATCH(J9,DIFFERENTIATION_ID_DIFF,0)))</f>
        <v>Котельная №2,  ул.Пирогова около д.4</v>
      </c>
      <c r="K12" s="1672" t="str">
        <f>IF(K9="","",INDEX(DIFFERENTIATION_UNMERGE_SYSTEM,MATCH(K9,DIFFERENTIATION_ID_DIFF,0)))</f>
        <v>Котельная №3, ул.Комсомольская около д.1 по ул.Ленина</v>
      </c>
      <c r="L12" s="1672" t="str">
        <f>IF(L9="","",INDEX(DIFFERENTIATION_UNMERGE_SYSTEM,MATCH(L9,DIFFERENTIATION_ID_DIFF,0)))</f>
        <v>Тепловой центр №1 ул.Вокзальная ок д.№8</v>
      </c>
      <c r="M12" s="1672" t="str">
        <f>IF(M9="","",INDEX(DIFFERENTIATION_UNMERGE_SYSTEM,MATCH(M9,DIFFERENTIATION_ID_DIFF,0)))</f>
        <v>Котельная №5, Александр. Поле, около д.30 по ул.Советская </v>
      </c>
      <c r="N12" s="1672" t="str">
        <f>IF(N9="","",INDEX(DIFFERENTIATION_UNMERGE_SYSTEM,MATCH(N9,DIFFERENTIATION_ID_DIFF,0)))</f>
        <v>Котельная №6, ул.Пушкина </v>
      </c>
      <c r="O12" s="1672" t="str">
        <f>IF(O9="","",INDEX(DIFFERENTIATION_UNMERGE_SYSTEM,MATCH(O9,DIFFERENTIATION_ID_DIFF,0)))</f>
        <v>Тепловой центр №2 ул.Вокзальная ок д.№20</v>
      </c>
      <c r="P12" s="1672" t="str">
        <f>IF(P9="","",INDEX(DIFFERENTIATION_UNMERGE_SYSTEM,MATCH(P9,DIFFERENTIATION_ID_DIFF,0)))</f>
        <v>Котельная №8, ул.Мира</v>
      </c>
      <c r="Q12" s="1672" t="str">
        <f>IF(Q9="","",INDEX(DIFFERENTIATION_UNMERGE_SYSTEM,MATCH(Q9,DIFFERENTIATION_ID_DIFF,0)))</f>
        <v>Котельная №9, ул.Гоголя</v>
      </c>
      <c r="R12" s="1672" t="str">
        <f>IF(R9="","",INDEX(DIFFERENTIATION_UNMERGE_SYSTEM,MATCH(R9,DIFFERENTIATION_ID_DIFF,0)))</f>
        <v>Котельная №10, ул.Гоголя</v>
      </c>
      <c r="S12" s="1672" t="str">
        <f>IF(S9="","",INDEX(DIFFERENTIATION_UNMERGE_SYSTEM,MATCH(S9,DIFFERENTIATION_ID_DIFF,0)))</f>
        <v>Котельная №12а, ул.Мира</v>
      </c>
      <c r="T12" s="1672" t="str">
        <f>IF(T9="","",INDEX(DIFFERENTIATION_UNMERGE_SYSTEM,MATCH(T9,DIFFERENTIATION_ID_DIFF,0)))</f>
        <v>Котельная №13, ул.Морквашинская</v>
      </c>
      <c r="U12" s="1672" t="str">
        <f>IF(U9="","",INDEX(DIFFERENTIATION_UNMERGE_SYSTEM,MATCH(U9,DIFFERENTIATION_ID_DIFF,0)))</f>
        <v>ЦТП-1 ул.Морквашинская ок.д№7</v>
      </c>
      <c r="V12" s="1672" t="str">
        <f>IF(V9="","",INDEX(DIFFERENTIATION_UNMERGE_SYSTEM,MATCH(V9,DIFFERENTIATION_ID_DIFF,0)))</f>
        <v>ЦТП-2, В-1,ок.д.№10</v>
      </c>
      <c r="W12" s="1672" t="str">
        <f>IF(W9="","",INDEX(DIFFERENTIATION_UNMERGE_SYSTEM,MATCH(W9,DIFFERENTIATION_ID_DIFF,0)))</f>
        <v>ЦТП-9, ул.Пролетарская д.23/ул.Транспортная д.10</v>
      </c>
      <c r="X12" s="1672" t="str">
        <f>IF(X9="","",INDEX(DIFFERENTIATION_UNMERGE_SYSTEM,MATCH(X9,DIFFERENTIATION_ID_DIFF,0)))</f>
        <v>ПНС№1-  Пролет, 5</v>
      </c>
      <c r="Y12" s="1672" t="str">
        <f>IF(Y9="","",INDEX(DIFFERENTIATION_UNMERGE_SYSTEM,MATCH(Y9,DIFFERENTIATION_ID_DIFF,0)))</f>
        <v>ПНС№2, ул.Репина,3</v>
      </c>
      <c r="Z12" s="1672" t="str">
        <f>IF(Z9="","",INDEX(DIFFERENTIATION_UNMERGE_SYSTEM,MATCH(Z9,DIFFERENTIATION_ID_DIFF,0)))</f>
        <v>Котельная №14, ул.Радиозаводская</v>
      </c>
      <c r="AA12" s="1672" t="str">
        <f>IF(AA9="","",INDEX(DIFFERENTIATION_UNMERGE_SYSTEM,MATCH(AA9,DIFFERENTIATION_ID_DIFF,0)))</f>
        <v>ЦТП-3, ул.Радиозаводская,ок.д.№6</v>
      </c>
      <c r="AB12" s="1672" t="str">
        <f>IF(AB9="","",INDEX(DIFFERENTIATION_UNMERGE_SYSTEM,MATCH(AB9,DIFFERENTIATION_ID_DIFF,0)))</f>
        <v>Котельная №17а с.Зольное , ул.Первомайская.</v>
      </c>
      <c r="AC12" s="1672" t="str">
        <f>IF(AC9="","",INDEX(DIFFERENTIATION_UNMERGE_SYSTEM,MATCH(AC9,DIFFERENTIATION_ID_DIFF,0)))</f>
        <v>Котельная №18А, с.Солнечная Поляна, ул. 4-я Линия</v>
      </c>
      <c r="AD12" s="1672" t="str">
        <f>IF(AD9="","",INDEX(DIFFERENTIATION_UNMERGE_SYSTEM,MATCH(AD9,DIFFERENTIATION_ID_DIFF,0)))</f>
        <v>Котельная №20,пос.Яблоневый Овраг , ул Никитина</v>
      </c>
      <c r="AE12" s="1672" t="str">
        <f>IF(AE9="","",INDEX(DIFFERENTIATION_UNMERGE_SYSTEM,MATCH(AE9,DIFFERENTIATION_ID_DIFF,0)))</f>
        <v>Котельная №22, ул.Магистральная</v>
      </c>
      <c r="AF12" s="1672" t="str">
        <f>IF(AF9="","",INDEX(DIFFERENTIATION_UNMERGE_SYSTEM,MATCH(AF9,DIFFERENTIATION_ID_DIFF,0)))</f>
        <v>Котельная №25,  МКР Г-1, ул.Гидротехническая</v>
      </c>
      <c r="AG12" s="1672" t="str">
        <f>IF(AG9="","",INDEX(DIFFERENTIATION_UNMERGE_SYSTEM,MATCH(AG9,DIFFERENTIATION_ID_DIFF,0)))</f>
        <v>ЦТП-7, ул.Оборонная</v>
      </c>
      <c r="AH12" s="1672" t="str">
        <f>IF(AH9="","",INDEX(DIFFERENTIATION_UNMERGE_SYSTEM,MATCH(AH9,DIFFERENTIATION_ID_DIFF,0)))</f>
        <v>ЦТП-8, ул.Шевченко</v>
      </c>
      <c r="AI12" s="1672" t="str">
        <f>IF(AI9="","",INDEX(DIFFERENTIATION_UNMERGE_SYSTEM,MATCH(AI9,DIFFERENTIATION_ID_DIFF,0)))</f>
        <v>ПНС, ул.Парковая</v>
      </c>
      <c r="AJ12" s="1672" t="str">
        <f>IF(AJ9="","",INDEX(DIFFERENTIATION_UNMERGE_SYSTEM,MATCH(AJ9,DIFFERENTIATION_ID_DIFF,0)))</f>
        <v>Котельная №27, п.Богатырь, ул.Управленческая</v>
      </c>
      <c r="AK12" s="1672" t="str">
        <f>IF(AK9="","",INDEX(DIFFERENTIATION_UNMERGE_SYSTEM,MATCH(AK9,DIFFERENTIATION_ID_DIFF,0)))</f>
        <v>Котельная №13, ул.Морквашинская</v>
      </c>
      <c r="AL12" s="1672" t="str">
        <f>IF(AL9="","",INDEX(DIFFERENTIATION_UNMERGE_SYSTEM,MATCH(AL9,DIFFERENTIATION_ID_DIFF,0)))</f>
        <v>Котельная №14, ул.Радиозаводская</v>
      </c>
      <c r="AM12" s="1672" t="str">
        <f>IF(AM9="","",INDEX(DIFFERENTIATION_UNMERGE_SYSTEM,MATCH(AM9,DIFFERENTIATION_ID_DIFF,0)))</f>
        <v>Котельная №25,  МКР Г-1, ул.Гидротехническая</v>
      </c>
      <c r="AN12" s="2136"/>
      <c r="BJ12" s="1640">
        <v>1</v>
      </c>
    </row>
    <row customHeight="1" ht="11.549999999999999">
      <c r="E13" s="2378" t="s">
        <v>373</v>
      </c>
      <c r="F13" s="2379"/>
      <c r="G13" s="2379"/>
      <c r="H13" s="1560"/>
      <c r="I13" s="1560"/>
      <c r="J13" s="2376"/>
      <c r="K13" s="2376"/>
      <c r="L13" s="2376"/>
      <c r="M13" s="2376"/>
      <c r="N13" s="2376"/>
      <c r="O13" s="2376"/>
      <c r="P13" s="2376"/>
      <c r="Q13" s="2376"/>
      <c r="R13" s="2376"/>
      <c r="S13" s="2376"/>
      <c r="T13" s="2376"/>
      <c r="U13" s="2376"/>
      <c r="V13" s="2376"/>
      <c r="W13" s="2376"/>
      <c r="X13" s="2376"/>
      <c r="Y13" s="2376"/>
      <c r="Z13" s="2376"/>
      <c r="AA13" s="2376"/>
      <c r="AB13" s="2376"/>
      <c r="AC13" s="2376"/>
      <c r="AD13" s="2376"/>
      <c r="AE13" s="2376"/>
      <c r="AF13" s="2376"/>
      <c r="AG13" s="2376"/>
      <c r="AH13" s="2376"/>
      <c r="AI13" s="2376"/>
      <c r="AJ13" s="2376"/>
      <c r="AK13" s="2376"/>
      <c r="AL13" s="2376"/>
      <c r="AM13" s="2376"/>
      <c r="AN13" s="2136"/>
      <c r="BJ13" s="1640">
        <v>11</v>
      </c>
    </row>
    <row customHeight="1" ht="24">
      <c r="E14" s="1648" t="s">
        <v>88</v>
      </c>
      <c r="F14" s="1643" t="s">
        <v>375</v>
      </c>
      <c r="G14" s="1643" t="s">
        <v>639</v>
      </c>
      <c r="H14" s="1643" t="s">
        <v>376</v>
      </c>
      <c r="I14" s="1643" t="s">
        <v>376</v>
      </c>
      <c r="J14" s="2321" t="s">
        <v>376</v>
      </c>
      <c r="K14" s="2321" t="s">
        <v>376</v>
      </c>
      <c r="L14" s="2321" t="s">
        <v>376</v>
      </c>
      <c r="M14" s="2321" t="s">
        <v>376</v>
      </c>
      <c r="N14" s="2321" t="s">
        <v>376</v>
      </c>
      <c r="O14" s="2321" t="s">
        <v>376</v>
      </c>
      <c r="P14" s="2321" t="s">
        <v>376</v>
      </c>
      <c r="Q14" s="2321" t="s">
        <v>376</v>
      </c>
      <c r="R14" s="2321" t="s">
        <v>376</v>
      </c>
      <c r="S14" s="2321" t="s">
        <v>376</v>
      </c>
      <c r="T14" s="2321" t="s">
        <v>376</v>
      </c>
      <c r="U14" s="2321" t="s">
        <v>376</v>
      </c>
      <c r="V14" s="2321" t="s">
        <v>376</v>
      </c>
      <c r="W14" s="2321" t="s">
        <v>376</v>
      </c>
      <c r="X14" s="2321" t="s">
        <v>376</v>
      </c>
      <c r="Y14" s="2321" t="s">
        <v>376</v>
      </c>
      <c r="Z14" s="2321" t="s">
        <v>376</v>
      </c>
      <c r="AA14" s="2321" t="s">
        <v>376</v>
      </c>
      <c r="AB14" s="2321" t="s">
        <v>376</v>
      </c>
      <c r="AC14" s="2321" t="s">
        <v>376</v>
      </c>
      <c r="AD14" s="2321" t="s">
        <v>376</v>
      </c>
      <c r="AE14" s="2321" t="s">
        <v>376</v>
      </c>
      <c r="AF14" s="2321" t="s">
        <v>376</v>
      </c>
      <c r="AG14" s="2321" t="s">
        <v>376</v>
      </c>
      <c r="AH14" s="2321" t="s">
        <v>376</v>
      </c>
      <c r="AI14" s="2321" t="s">
        <v>376</v>
      </c>
      <c r="AJ14" s="2321" t="s">
        <v>376</v>
      </c>
      <c r="AK14" s="2375" t="s">
        <v>376</v>
      </c>
      <c r="AL14" s="2375" t="s">
        <v>376</v>
      </c>
      <c r="AM14" s="2375" t="s">
        <v>376</v>
      </c>
      <c r="AN14" s="2136"/>
      <c r="BJ14" s="1640">
        <v>23</v>
      </c>
    </row>
    <row customHeight="1" ht="19.95">
      <c r="D15" s="1647"/>
      <c r="E15" s="1639" t="s">
        <v>109</v>
      </c>
      <c r="F15" s="716" t="s">
        <v>807</v>
      </c>
      <c r="G15" s="1655" t="s">
        <v>625</v>
      </c>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298" t="s">
        <v>808</v>
      </c>
      <c r="AO15" s="552" t="s">
        <v>733</v>
      </c>
      <c r="BJ15" s="1640">
        <v>19</v>
      </c>
    </row>
    <row customHeight="1" ht="35.699999999999996">
      <c r="D16" s="1647"/>
      <c r="E16" s="1639" t="s">
        <v>110</v>
      </c>
      <c r="F16" s="716" t="s">
        <v>809</v>
      </c>
      <c r="G16" s="1655" t="s">
        <v>625</v>
      </c>
      <c r="H16" s="567">
        <f>SUM(H17,H20:H32)</f>
        <v>0</v>
      </c>
      <c r="I16" s="567">
        <f>SUM(I17,I20,I23,I26,I29:I32)</f>
        <v>0</v>
      </c>
      <c r="J16" s="567">
        <f>SUM(J17,J20:J32)</f>
        <v>0</v>
      </c>
      <c r="K16" s="567">
        <f>SUM(K17,K20:K32)</f>
        <v>0</v>
      </c>
      <c r="L16" s="567">
        <f>SUM(L17,L20:L32)</f>
        <v>0</v>
      </c>
      <c r="M16" s="567">
        <f>SUM(M17,M20:M32)</f>
        <v>0</v>
      </c>
      <c r="N16" s="567">
        <f>SUM(N17,N20:N32)</f>
        <v>0</v>
      </c>
      <c r="O16" s="567">
        <f>SUM(O17,O20:O32)</f>
        <v>0</v>
      </c>
      <c r="P16" s="567">
        <f>SUM(P17,P20:P32)</f>
        <v>0</v>
      </c>
      <c r="Q16" s="567">
        <f>SUM(Q17,Q20:Q32)</f>
        <v>0</v>
      </c>
      <c r="R16" s="567">
        <f>SUM(R17,R20:R32)</f>
        <v>0</v>
      </c>
      <c r="S16" s="567">
        <f>SUM(S17,S20:S32)</f>
        <v>0</v>
      </c>
      <c r="T16" s="567">
        <f>SUM(T17,T20:T32)</f>
        <v>0</v>
      </c>
      <c r="U16" s="567">
        <f>SUM(U17,U20:U32)</f>
        <v>0</v>
      </c>
      <c r="V16" s="567">
        <f>SUM(V17,V20:V32)</f>
        <v>0</v>
      </c>
      <c r="W16" s="567">
        <f>SUM(W17,W20:W32)</f>
        <v>0</v>
      </c>
      <c r="X16" s="567">
        <f>SUM(X17,X20:X32)</f>
        <v>0</v>
      </c>
      <c r="Y16" s="567">
        <f>SUM(Y17,Y20:Y32)</f>
        <v>0</v>
      </c>
      <c r="Z16" s="567">
        <f>SUM(Z17,Z20:Z32)</f>
        <v>0</v>
      </c>
      <c r="AA16" s="567">
        <f>SUM(AA17,AA20:AA32)</f>
        <v>0</v>
      </c>
      <c r="AB16" s="567">
        <f>SUM(AB17,AB20:AB32)</f>
        <v>0</v>
      </c>
      <c r="AC16" s="567">
        <f>SUM(AC17,AC20:AC32)</f>
        <v>0</v>
      </c>
      <c r="AD16" s="567">
        <f>SUM(AD17,AD20:AD32)</f>
        <v>0</v>
      </c>
      <c r="AE16" s="567">
        <f>SUM(AE17,AE20:AE32)</f>
        <v>0</v>
      </c>
      <c r="AF16" s="567">
        <f>SUM(AF17,AF20:AF32)</f>
        <v>0</v>
      </c>
      <c r="AG16" s="567">
        <f>SUM(AG17,AG20:AG32)</f>
        <v>0</v>
      </c>
      <c r="AH16" s="567">
        <f>SUM(AH17,AH20:AH32)</f>
        <v>0</v>
      </c>
      <c r="AI16" s="567">
        <f>SUM(AI17,AI20:AI32)</f>
        <v>0</v>
      </c>
      <c r="AJ16" s="567">
        <f>SUM(AJ17,AJ20:AJ32)</f>
        <v>0</v>
      </c>
      <c r="AK16" s="567">
        <f>SUM(AK17,AK20:AK32)</f>
        <v>0</v>
      </c>
      <c r="AL16" s="567">
        <f>SUM(AL17,AL20:AL32)</f>
        <v>0</v>
      </c>
      <c r="AM16" s="567">
        <f>SUM(AM17,AM20:AM32)</f>
        <v>0</v>
      </c>
      <c r="AN16" s="298" t="s">
        <v>810</v>
      </c>
      <c r="AO16" s="552" t="s">
        <v>733</v>
      </c>
      <c r="BJ16" s="1640">
        <v>34</v>
      </c>
    </row>
    <row customHeight="1" ht="19.95">
      <c r="D17" s="1647"/>
      <c r="E17" s="1673" t="s">
        <v>811</v>
      </c>
      <c r="F17" s="963" t="s">
        <v>812</v>
      </c>
      <c r="G17" s="1652" t="s">
        <v>625</v>
      </c>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298" t="s">
        <v>813</v>
      </c>
      <c r="AO17" s="552"/>
      <c r="BJ17" s="1640">
        <v>19</v>
      </c>
    </row>
    <row customHeight="1" ht="24">
      <c r="D18" s="1647"/>
      <c r="E18" s="1673" t="s">
        <v>814</v>
      </c>
      <c r="F18" s="1659" t="s">
        <v>815</v>
      </c>
      <c r="G18" s="1652" t="s">
        <v>625</v>
      </c>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298" t="s">
        <v>816</v>
      </c>
      <c r="AO18" s="552"/>
      <c r="BJ18" s="1640">
        <v>23</v>
      </c>
    </row>
    <row customHeight="1" ht="35.699999999999996">
      <c r="D19" s="1647"/>
      <c r="E19" s="1673" t="s">
        <v>817</v>
      </c>
      <c r="F19" s="1659" t="s">
        <v>818</v>
      </c>
      <c r="G19" s="1652" t="s">
        <v>625</v>
      </c>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298"/>
      <c r="AO19" s="552"/>
      <c r="BJ19" s="1640">
        <v>34</v>
      </c>
    </row>
    <row customHeight="1" ht="19.95">
      <c r="D20" s="1647"/>
      <c r="E20" s="1673" t="s">
        <v>380</v>
      </c>
      <c r="F20" s="963" t="s">
        <v>819</v>
      </c>
      <c r="G20" s="1652" t="s">
        <v>625</v>
      </c>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66"/>
      <c r="AJ20" s="566"/>
      <c r="AK20" s="566"/>
      <c r="AL20" s="566"/>
      <c r="AM20" s="566"/>
      <c r="AN20" s="298" t="s">
        <v>820</v>
      </c>
      <c r="AO20" s="552"/>
      <c r="BJ20" s="1640">
        <v>19</v>
      </c>
    </row>
    <row customHeight="1" ht="19.95">
      <c r="D21" s="1647"/>
      <c r="E21" s="1673" t="s">
        <v>821</v>
      </c>
      <c r="F21" s="1659" t="s">
        <v>822</v>
      </c>
      <c r="G21" s="1652" t="s">
        <v>625</v>
      </c>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298"/>
      <c r="AO21" s="552"/>
      <c r="BJ21" s="1640">
        <v>19</v>
      </c>
    </row>
    <row customHeight="1" ht="19.95">
      <c r="D22" s="1647"/>
      <c r="E22" s="1673" t="s">
        <v>823</v>
      </c>
      <c r="F22" s="1659" t="s">
        <v>824</v>
      </c>
      <c r="G22" s="1652" t="s">
        <v>625</v>
      </c>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298"/>
      <c r="AO22" s="552"/>
      <c r="BJ22" s="1640">
        <v>19</v>
      </c>
    </row>
    <row customHeight="1" ht="24">
      <c r="D23" s="1647"/>
      <c r="E23" s="1673" t="s">
        <v>383</v>
      </c>
      <c r="F23" s="963" t="s">
        <v>825</v>
      </c>
      <c r="G23" s="1652" t="s">
        <v>625</v>
      </c>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M23" s="566"/>
      <c r="AN23" s="298" t="s">
        <v>826</v>
      </c>
      <c r="AO23" s="552"/>
      <c r="BJ23" s="1640">
        <v>23</v>
      </c>
    </row>
    <row customHeight="1" ht="19.95">
      <c r="D24" s="1647"/>
      <c r="E24" s="1673" t="s">
        <v>827</v>
      </c>
      <c r="F24" s="1659" t="s">
        <v>828</v>
      </c>
      <c r="G24" s="1652" t="s">
        <v>625</v>
      </c>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298"/>
      <c r="AO24" s="552"/>
      <c r="BJ24" s="1640">
        <v>19</v>
      </c>
    </row>
    <row customHeight="1" ht="35.699999999999996">
      <c r="D25" s="1647"/>
      <c r="E25" s="1673" t="s">
        <v>829</v>
      </c>
      <c r="F25" s="1659" t="s">
        <v>830</v>
      </c>
      <c r="G25" s="1652" t="s">
        <v>625</v>
      </c>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298"/>
      <c r="AO25" s="552"/>
      <c r="BJ25" s="1640">
        <v>34</v>
      </c>
    </row>
    <row customHeight="1" ht="24">
      <c r="D26" s="1647"/>
      <c r="E26" s="1673" t="s">
        <v>831</v>
      </c>
      <c r="F26" s="963" t="s">
        <v>832</v>
      </c>
      <c r="G26" s="1652" t="s">
        <v>625</v>
      </c>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298" t="s">
        <v>833</v>
      </c>
      <c r="AO26" s="552"/>
      <c r="BJ26" s="1640">
        <v>23</v>
      </c>
    </row>
    <row customHeight="1" ht="19.95">
      <c r="D27" s="1647"/>
      <c r="E27" s="1684" t="s">
        <v>834</v>
      </c>
      <c r="F27" s="1659" t="s">
        <v>835</v>
      </c>
      <c r="G27" s="1663" t="s">
        <v>625</v>
      </c>
      <c r="H27" s="1685"/>
      <c r="I27" s="1685"/>
      <c r="J27" s="1685"/>
      <c r="K27" s="1685"/>
      <c r="L27" s="1685"/>
      <c r="M27" s="1685"/>
      <c r="N27" s="1685"/>
      <c r="O27" s="1685"/>
      <c r="P27" s="1685"/>
      <c r="Q27" s="1685"/>
      <c r="R27" s="1685"/>
      <c r="S27" s="1685"/>
      <c r="T27" s="1685"/>
      <c r="U27" s="1685"/>
      <c r="V27" s="1685"/>
      <c r="W27" s="1685"/>
      <c r="X27" s="1685"/>
      <c r="Y27" s="1685"/>
      <c r="Z27" s="1685"/>
      <c r="AA27" s="1685"/>
      <c r="AB27" s="1685"/>
      <c r="AC27" s="1685"/>
      <c r="AD27" s="1685"/>
      <c r="AE27" s="1685"/>
      <c r="AF27" s="1685"/>
      <c r="AG27" s="1685"/>
      <c r="AH27" s="1685"/>
      <c r="AI27" s="1685"/>
      <c r="AJ27" s="1685"/>
      <c r="AK27" s="1685"/>
      <c r="AL27" s="1685"/>
      <c r="AM27" s="1685"/>
      <c r="AN27" s="298"/>
      <c r="AO27" s="552"/>
      <c r="BJ27" s="1640">
        <v>19</v>
      </c>
    </row>
    <row customHeight="1" ht="19.95">
      <c r="D28" s="1647"/>
      <c r="E28" s="1684" t="s">
        <v>836</v>
      </c>
      <c r="F28" s="1659" t="s">
        <v>837</v>
      </c>
      <c r="G28" s="1663" t="s">
        <v>625</v>
      </c>
      <c r="H28" s="1685"/>
      <c r="I28" s="1685"/>
      <c r="J28" s="1685"/>
      <c r="K28" s="1685"/>
      <c r="L28" s="1685"/>
      <c r="M28" s="1685"/>
      <c r="N28" s="1685"/>
      <c r="O28" s="1685"/>
      <c r="P28" s="1685"/>
      <c r="Q28" s="1685"/>
      <c r="R28" s="1685"/>
      <c r="S28" s="1685"/>
      <c r="T28" s="1685"/>
      <c r="U28" s="1685"/>
      <c r="V28" s="1685"/>
      <c r="W28" s="1685"/>
      <c r="X28" s="1685"/>
      <c r="Y28" s="1685"/>
      <c r="Z28" s="1685"/>
      <c r="AA28" s="1685"/>
      <c r="AB28" s="1685"/>
      <c r="AC28" s="1685"/>
      <c r="AD28" s="1685"/>
      <c r="AE28" s="1685"/>
      <c r="AF28" s="1685"/>
      <c r="AG28" s="1685"/>
      <c r="AH28" s="1685"/>
      <c r="AI28" s="1685"/>
      <c r="AJ28" s="1685"/>
      <c r="AK28" s="1685"/>
      <c r="AL28" s="1685"/>
      <c r="AM28" s="1685"/>
      <c r="AN28" s="298"/>
      <c r="AO28" s="552"/>
      <c r="BJ28" s="1640">
        <v>19</v>
      </c>
    </row>
    <row customHeight="1" ht="19.95">
      <c r="D29" s="1647"/>
      <c r="E29" s="1684" t="s">
        <v>838</v>
      </c>
      <c r="F29" s="963" t="s">
        <v>839</v>
      </c>
      <c r="G29" s="1663" t="s">
        <v>625</v>
      </c>
      <c r="H29" s="1685"/>
      <c r="I29" s="1685"/>
      <c r="J29" s="1685"/>
      <c r="K29" s="1685"/>
      <c r="L29" s="1685"/>
      <c r="M29" s="1685"/>
      <c r="N29" s="1685"/>
      <c r="O29" s="1685"/>
      <c r="P29" s="1685"/>
      <c r="Q29" s="1685"/>
      <c r="R29" s="1685"/>
      <c r="S29" s="1685"/>
      <c r="T29" s="1685"/>
      <c r="U29" s="1685"/>
      <c r="V29" s="1685"/>
      <c r="W29" s="1685"/>
      <c r="X29" s="1685"/>
      <c r="Y29" s="1685"/>
      <c r="Z29" s="1685"/>
      <c r="AA29" s="1685"/>
      <c r="AB29" s="1685"/>
      <c r="AC29" s="1685"/>
      <c r="AD29" s="1685"/>
      <c r="AE29" s="1685"/>
      <c r="AF29" s="1685"/>
      <c r="AG29" s="1685"/>
      <c r="AH29" s="1685"/>
      <c r="AI29" s="1685"/>
      <c r="AJ29" s="1685"/>
      <c r="AK29" s="1685"/>
      <c r="AL29" s="1685"/>
      <c r="AM29" s="1685"/>
      <c r="AN29" s="298"/>
      <c r="AO29" s="552"/>
      <c r="BJ29" s="1640">
        <v>19</v>
      </c>
    </row>
    <row customHeight="1" ht="19.95">
      <c r="D30" s="1647"/>
      <c r="E30" s="1684" t="s">
        <v>840</v>
      </c>
      <c r="F30" s="963" t="s">
        <v>841</v>
      </c>
      <c r="G30" s="1663" t="s">
        <v>625</v>
      </c>
      <c r="H30" s="1685"/>
      <c r="I30" s="1685"/>
      <c r="J30" s="1685"/>
      <c r="K30" s="1685"/>
      <c r="L30" s="1685"/>
      <c r="M30" s="1685"/>
      <c r="N30" s="1685"/>
      <c r="O30" s="1685"/>
      <c r="P30" s="1685"/>
      <c r="Q30" s="1685"/>
      <c r="R30" s="1685"/>
      <c r="S30" s="1685"/>
      <c r="T30" s="1685"/>
      <c r="U30" s="1685"/>
      <c r="V30" s="1685"/>
      <c r="W30" s="1685"/>
      <c r="X30" s="1685"/>
      <c r="Y30" s="1685"/>
      <c r="Z30" s="1685"/>
      <c r="AA30" s="1685"/>
      <c r="AB30" s="1685"/>
      <c r="AC30" s="1685"/>
      <c r="AD30" s="1685"/>
      <c r="AE30" s="1685"/>
      <c r="AF30" s="1685"/>
      <c r="AG30" s="1685"/>
      <c r="AH30" s="1685"/>
      <c r="AI30" s="1685"/>
      <c r="AJ30" s="1685"/>
      <c r="AK30" s="1685"/>
      <c r="AL30" s="1685"/>
      <c r="AM30" s="1685"/>
      <c r="AN30" s="298"/>
      <c r="AO30" s="552"/>
      <c r="BJ30" s="1640">
        <v>19</v>
      </c>
    </row>
    <row customHeight="1" ht="19.95">
      <c r="D31" s="1647"/>
      <c r="E31" s="1684" t="s">
        <v>842</v>
      </c>
      <c r="F31" s="963" t="s">
        <v>843</v>
      </c>
      <c r="G31" s="1663" t="s">
        <v>625</v>
      </c>
      <c r="H31" s="1685"/>
      <c r="I31" s="1685"/>
      <c r="J31" s="1685"/>
      <c r="K31" s="1685"/>
      <c r="L31" s="1685"/>
      <c r="M31" s="1685"/>
      <c r="N31" s="1685"/>
      <c r="O31" s="1685"/>
      <c r="P31" s="1685"/>
      <c r="Q31" s="1685"/>
      <c r="R31" s="1685"/>
      <c r="S31" s="1685"/>
      <c r="T31" s="1685"/>
      <c r="U31" s="1685"/>
      <c r="V31" s="1685"/>
      <c r="W31" s="1685"/>
      <c r="X31" s="1685"/>
      <c r="Y31" s="1685"/>
      <c r="Z31" s="1685"/>
      <c r="AA31" s="1685"/>
      <c r="AB31" s="1685"/>
      <c r="AC31" s="1685"/>
      <c r="AD31" s="1685"/>
      <c r="AE31" s="1685"/>
      <c r="AF31" s="1685"/>
      <c r="AG31" s="1685"/>
      <c r="AH31" s="1685"/>
      <c r="AI31" s="1685"/>
      <c r="AJ31" s="1685"/>
      <c r="AK31" s="1685"/>
      <c r="AL31" s="1685"/>
      <c r="AM31" s="1685"/>
      <c r="AN31" s="298"/>
      <c r="AO31" s="552"/>
      <c r="BJ31" s="1640">
        <v>19</v>
      </c>
    </row>
    <row s="1375" customFormat="1" customHeight="1" ht="35.699999999999996">
      <c r="A32" s="996"/>
      <c r="C32" s="1645"/>
      <c r="D32" s="1647"/>
      <c r="E32" s="1684" t="s">
        <v>844</v>
      </c>
      <c r="F32" s="963" t="s">
        <v>845</v>
      </c>
      <c r="G32" s="1653" t="s">
        <v>625</v>
      </c>
      <c r="H32" s="588">
        <f>SUM(H33:H34)</f>
        <v>0</v>
      </c>
      <c r="I32" s="588">
        <f>SUM(I33:I34)</f>
        <v>0</v>
      </c>
      <c r="J32" s="588">
        <f>SUM(J33:J34)</f>
        <v>0</v>
      </c>
      <c r="K32" s="588">
        <f>SUM(K33:K34)</f>
        <v>0</v>
      </c>
      <c r="L32" s="588">
        <f>SUM(L33:L34)</f>
        <v>0</v>
      </c>
      <c r="M32" s="588">
        <f>SUM(M33:M34)</f>
        <v>0</v>
      </c>
      <c r="N32" s="588">
        <f>SUM(N33:N34)</f>
        <v>0</v>
      </c>
      <c r="O32" s="588">
        <f>SUM(O33:O34)</f>
        <v>0</v>
      </c>
      <c r="P32" s="588">
        <f>SUM(P33:P34)</f>
        <v>0</v>
      </c>
      <c r="Q32" s="588">
        <f>SUM(Q33:Q34)</f>
        <v>0</v>
      </c>
      <c r="R32" s="588">
        <f>SUM(R33:R34)</f>
        <v>0</v>
      </c>
      <c r="S32" s="588">
        <f>SUM(S33:S34)</f>
        <v>0</v>
      </c>
      <c r="T32" s="588">
        <f>SUM(T33:T34)</f>
        <v>0</v>
      </c>
      <c r="U32" s="588">
        <f>SUM(U33:U34)</f>
        <v>0</v>
      </c>
      <c r="V32" s="588">
        <f>SUM(V33:V34)</f>
        <v>0</v>
      </c>
      <c r="W32" s="588">
        <f>SUM(W33:W34)</f>
        <v>0</v>
      </c>
      <c r="X32" s="588">
        <f>SUM(X33:X34)</f>
        <v>0</v>
      </c>
      <c r="Y32" s="588">
        <f>SUM(Y33:Y34)</f>
        <v>0</v>
      </c>
      <c r="Z32" s="588">
        <f>SUM(Z33:Z34)</f>
        <v>0</v>
      </c>
      <c r="AA32" s="588">
        <f>SUM(AA33:AA34)</f>
        <v>0</v>
      </c>
      <c r="AB32" s="588">
        <f>SUM(AB33:AB34)</f>
        <v>0</v>
      </c>
      <c r="AC32" s="588">
        <f>SUM(AC33:AC34)</f>
        <v>0</v>
      </c>
      <c r="AD32" s="588">
        <f>SUM(AD33:AD34)</f>
        <v>0</v>
      </c>
      <c r="AE32" s="588">
        <f>SUM(AE33:AE34)</f>
        <v>0</v>
      </c>
      <c r="AF32" s="588">
        <f>SUM(AF33:AF34)</f>
        <v>0</v>
      </c>
      <c r="AG32" s="588">
        <f>SUM(AG33:AG34)</f>
        <v>0</v>
      </c>
      <c r="AH32" s="588">
        <f>SUM(AH33:AH34)</f>
        <v>0</v>
      </c>
      <c r="AI32" s="588">
        <f>SUM(AI33:AI34)</f>
        <v>0</v>
      </c>
      <c r="AJ32" s="588">
        <f>SUM(AJ33:AJ34)</f>
        <v>0</v>
      </c>
      <c r="AK32" s="588">
        <f>SUM(AK33:AK34)</f>
        <v>0</v>
      </c>
      <c r="AL32" s="588">
        <f>SUM(AL33:AL34)</f>
        <v>0</v>
      </c>
      <c r="AM32" s="588">
        <f>SUM(AM33:AM34)</f>
        <v>0</v>
      </c>
      <c r="AN32" s="298" t="s">
        <v>846</v>
      </c>
      <c r="AO32" s="552"/>
      <c r="AP32" s="1645"/>
      <c r="AQ32" s="1645"/>
      <c r="AV32" s="1645"/>
      <c r="AY32" s="553"/>
      <c r="BE32" s="1641"/>
      <c r="BF32" s="1641"/>
      <c r="BG32" s="1641"/>
      <c r="BH32" s="1641"/>
      <c r="BI32" s="1641"/>
      <c r="BJ32" s="1169">
        <v>34</v>
      </c>
    </row>
    <row s="1651" customFormat="1" customHeight="1" ht="1.05">
      <c r="A33" s="1176"/>
      <c r="D33" s="557"/>
      <c r="E33" s="811" t="str">
        <f>E32&amp;".0"</f>
        <v>2.8.0</v>
      </c>
      <c r="F33" s="1000"/>
      <c r="G33" s="560"/>
      <c r="H33" s="1001"/>
      <c r="I33" s="1001"/>
      <c r="J33" s="1001"/>
      <c r="K33" s="1001"/>
      <c r="L33" s="1001"/>
      <c r="M33" s="1001"/>
      <c r="N33" s="1001"/>
      <c r="O33" s="1001"/>
      <c r="P33" s="1001"/>
      <c r="Q33" s="1001"/>
      <c r="R33" s="1001"/>
      <c r="S33" s="1001"/>
      <c r="T33" s="1001"/>
      <c r="U33" s="1001"/>
      <c r="V33" s="1001"/>
      <c r="W33" s="1001"/>
      <c r="X33" s="1001"/>
      <c r="Y33" s="1001"/>
      <c r="Z33" s="1001"/>
      <c r="AA33" s="1001"/>
      <c r="AB33" s="1001"/>
      <c r="AC33" s="1001"/>
      <c r="AD33" s="1001"/>
      <c r="AE33" s="1001"/>
      <c r="AF33" s="1001"/>
      <c r="AG33" s="1001"/>
      <c r="AH33" s="1001"/>
      <c r="AI33" s="1001"/>
      <c r="AJ33" s="1001"/>
      <c r="AK33" s="1001"/>
      <c r="AL33" s="1001"/>
      <c r="AM33" s="1001"/>
      <c r="AN33" s="1002"/>
      <c r="BJ33" s="1645">
        <v>1</v>
      </c>
    </row>
    <row s="1375" customFormat="1" customHeight="1" ht="19.95">
      <c r="A34" s="996"/>
      <c r="C34" s="1645"/>
      <c r="D34" s="1642"/>
      <c r="E34" s="579"/>
      <c r="F34" s="1675" t="s">
        <v>650</v>
      </c>
      <c r="G34" s="581"/>
      <c r="H34" s="582"/>
      <c r="I34" s="582"/>
      <c r="J34" s="2830"/>
      <c r="K34" s="2831"/>
      <c r="L34" s="2832"/>
      <c r="M34" s="2833"/>
      <c r="N34" s="2834"/>
      <c r="O34" s="2835"/>
      <c r="P34" s="2836"/>
      <c r="Q34" s="2837"/>
      <c r="R34" s="2838"/>
      <c r="S34" s="2839"/>
      <c r="T34" s="2840"/>
      <c r="U34" s="2841"/>
      <c r="V34" s="2842"/>
      <c r="W34" s="2843"/>
      <c r="X34" s="2844"/>
      <c r="Y34" s="2845"/>
      <c r="Z34" s="2846"/>
      <c r="AA34" s="2847"/>
      <c r="AB34" s="2848"/>
      <c r="AC34" s="2849"/>
      <c r="AD34" s="2850"/>
      <c r="AE34" s="2851"/>
      <c r="AF34" s="2852"/>
      <c r="AG34" s="2853"/>
      <c r="AH34" s="2854"/>
      <c r="AI34" s="2855"/>
      <c r="AJ34" s="2856"/>
      <c r="AK34" s="3154"/>
      <c r="AL34" s="3155"/>
      <c r="AM34" s="3156"/>
      <c r="AN34" s="310" t="s">
        <v>847</v>
      </c>
      <c r="AO34" s="552"/>
      <c r="AP34" s="1645"/>
      <c r="AQ34" s="1645"/>
      <c r="AV34" s="1645"/>
      <c r="AY34" s="553"/>
      <c r="BE34" s="1641"/>
      <c r="BF34" s="1641"/>
      <c r="BG34" s="1641"/>
      <c r="BH34" s="1641"/>
      <c r="BI34" s="1641"/>
      <c r="BJ34" s="1169">
        <v>19</v>
      </c>
    </row>
    <row customHeight="1" ht="60">
      <c r="D35" s="1647"/>
      <c r="E35" s="1684" t="s">
        <v>848</v>
      </c>
      <c r="F35" s="963" t="s">
        <v>849</v>
      </c>
      <c r="G35" s="1663" t="s">
        <v>625</v>
      </c>
      <c r="H35" s="1685"/>
      <c r="I35" s="1685"/>
      <c r="J35" s="1685"/>
      <c r="K35" s="1685"/>
      <c r="L35" s="1685"/>
      <c r="M35" s="1685"/>
      <c r="N35" s="1685"/>
      <c r="O35" s="1685"/>
      <c r="P35" s="1685"/>
      <c r="Q35" s="1685"/>
      <c r="R35" s="1685"/>
      <c r="S35" s="1685"/>
      <c r="T35" s="1685"/>
      <c r="U35" s="1685"/>
      <c r="V35" s="1685"/>
      <c r="W35" s="1685"/>
      <c r="X35" s="1685"/>
      <c r="Y35" s="1685"/>
      <c r="Z35" s="1685"/>
      <c r="AA35" s="1685"/>
      <c r="AB35" s="1685"/>
      <c r="AC35" s="1685"/>
      <c r="AD35" s="1685"/>
      <c r="AE35" s="1685"/>
      <c r="AF35" s="1685"/>
      <c r="AG35" s="1685"/>
      <c r="AH35" s="1685"/>
      <c r="AI35" s="1685"/>
      <c r="AJ35" s="1685"/>
      <c r="AK35" s="1685"/>
      <c r="AL35" s="1685"/>
      <c r="AM35" s="1685"/>
      <c r="AN35" s="298" t="s">
        <v>850</v>
      </c>
      <c r="AO35" s="552"/>
      <c r="BJ35" s="1640">
        <v>57</v>
      </c>
    </row>
    <row s="1375" customFormat="1" customHeight="1" ht="24">
      <c r="A36" s="998" t="s">
        <v>651</v>
      </c>
      <c r="C36" s="1645"/>
      <c r="D36" s="1647"/>
      <c r="E36" s="1673" t="s">
        <v>90</v>
      </c>
      <c r="F36" s="716" t="s">
        <v>851</v>
      </c>
      <c r="G36" s="1652" t="s">
        <v>625</v>
      </c>
      <c r="H36" s="566"/>
      <c r="I36" s="566"/>
      <c r="J36" s="566"/>
      <c r="K36" s="566"/>
      <c r="L36" s="566"/>
      <c r="M36" s="566"/>
      <c r="N36" s="566"/>
      <c r="O36" s="566"/>
      <c r="P36" s="566"/>
      <c r="Q36" s="566"/>
      <c r="R36" s="566"/>
      <c r="S36" s="566"/>
      <c r="T36" s="566"/>
      <c r="U36" s="566"/>
      <c r="V36" s="566"/>
      <c r="W36" s="566"/>
      <c r="X36" s="566"/>
      <c r="Y36" s="566"/>
      <c r="Z36" s="566"/>
      <c r="AA36" s="566"/>
      <c r="AB36" s="566"/>
      <c r="AC36" s="566"/>
      <c r="AD36" s="566"/>
      <c r="AE36" s="566"/>
      <c r="AF36" s="566"/>
      <c r="AG36" s="566"/>
      <c r="AH36" s="566"/>
      <c r="AI36" s="566"/>
      <c r="AJ36" s="566"/>
      <c r="AK36" s="566"/>
      <c r="AL36" s="566"/>
      <c r="AM36" s="566"/>
      <c r="AN36" s="298" t="s">
        <v>852</v>
      </c>
      <c r="AO36" s="552"/>
      <c r="AP36" s="1645"/>
      <c r="AQ36" s="1645"/>
      <c r="AV36" s="1645"/>
      <c r="AY36" s="553"/>
      <c r="BE36" s="1641"/>
      <c r="BF36" s="1641"/>
      <c r="BG36" s="1641"/>
      <c r="BH36" s="1641"/>
      <c r="BI36" s="1641"/>
      <c r="BJ36" s="1169">
        <v>23</v>
      </c>
    </row>
    <row s="1375" customFormat="1" customHeight="1" ht="35.699999999999996">
      <c r="A37" s="998"/>
      <c r="C37" s="1645"/>
      <c r="D37" s="1647"/>
      <c r="E37" s="1673" t="s">
        <v>397</v>
      </c>
      <c r="F37" s="963" t="s">
        <v>853</v>
      </c>
      <c r="G37" s="1663"/>
      <c r="H37" s="566"/>
      <c r="I37" s="566"/>
      <c r="J37" s="566"/>
      <c r="K37" s="566"/>
      <c r="L37" s="566"/>
      <c r="M37" s="566"/>
      <c r="N37" s="566"/>
      <c r="O37" s="566"/>
      <c r="P37" s="566"/>
      <c r="Q37" s="566"/>
      <c r="R37" s="566"/>
      <c r="S37" s="566"/>
      <c r="T37" s="566"/>
      <c r="U37" s="566"/>
      <c r="V37" s="566"/>
      <c r="W37" s="566"/>
      <c r="X37" s="566"/>
      <c r="Y37" s="566"/>
      <c r="Z37" s="566"/>
      <c r="AA37" s="566"/>
      <c r="AB37" s="566"/>
      <c r="AC37" s="566"/>
      <c r="AD37" s="566"/>
      <c r="AE37" s="566"/>
      <c r="AF37" s="566"/>
      <c r="AG37" s="566"/>
      <c r="AH37" s="566"/>
      <c r="AI37" s="566"/>
      <c r="AJ37" s="566"/>
      <c r="AK37" s="566"/>
      <c r="AL37" s="566"/>
      <c r="AM37" s="566"/>
      <c r="AN37" s="298"/>
      <c r="AO37" s="552"/>
      <c r="AP37" s="1645"/>
      <c r="AQ37" s="1645"/>
      <c r="AV37" s="1645"/>
      <c r="AY37" s="553"/>
      <c r="BE37" s="1641"/>
      <c r="BF37" s="1641"/>
      <c r="BG37" s="1641"/>
      <c r="BH37" s="1641"/>
      <c r="BI37" s="1641"/>
      <c r="BJ37" s="1169">
        <v>34</v>
      </c>
    </row>
    <row s="1375" customFormat="1" customHeight="1" ht="19.95">
      <c r="A38" s="996"/>
      <c r="C38" s="1645"/>
      <c r="D38" s="584"/>
      <c r="E38" s="1673" t="s">
        <v>91</v>
      </c>
      <c r="F38" s="716" t="s">
        <v>854</v>
      </c>
      <c r="G38" s="1652" t="s">
        <v>625</v>
      </c>
      <c r="H38" s="566"/>
      <c r="I38" s="566"/>
      <c r="J38" s="566"/>
      <c r="K38" s="566"/>
      <c r="L38" s="566"/>
      <c r="M38" s="566"/>
      <c r="N38" s="566"/>
      <c r="O38" s="566"/>
      <c r="P38" s="566"/>
      <c r="Q38" s="566"/>
      <c r="R38" s="566"/>
      <c r="S38" s="566"/>
      <c r="T38" s="566"/>
      <c r="U38" s="566"/>
      <c r="V38" s="566"/>
      <c r="W38" s="566"/>
      <c r="X38" s="566"/>
      <c r="Y38" s="566"/>
      <c r="Z38" s="566"/>
      <c r="AA38" s="566"/>
      <c r="AB38" s="566"/>
      <c r="AC38" s="566"/>
      <c r="AD38" s="566"/>
      <c r="AE38" s="566"/>
      <c r="AF38" s="566"/>
      <c r="AG38" s="566"/>
      <c r="AH38" s="566"/>
      <c r="AI38" s="566"/>
      <c r="AJ38" s="566"/>
      <c r="AK38" s="566"/>
      <c r="AL38" s="566"/>
      <c r="AM38" s="566"/>
      <c r="AN38" s="298" t="s">
        <v>855</v>
      </c>
      <c r="AO38" s="552"/>
      <c r="AP38" s="1645"/>
      <c r="AQ38" s="1645"/>
      <c r="AV38" s="1645"/>
      <c r="AY38" s="553"/>
      <c r="BE38" s="1641"/>
      <c r="BF38" s="1641"/>
      <c r="BG38" s="1641"/>
      <c r="BH38" s="1641"/>
      <c r="BI38" s="1641"/>
      <c r="BJ38" s="1169">
        <v>19</v>
      </c>
    </row>
    <row s="1375" customFormat="1" customHeight="1" ht="24">
      <c r="A39" s="996"/>
      <c r="C39" s="1645"/>
      <c r="D39" s="584"/>
      <c r="E39" s="1673" t="s">
        <v>856</v>
      </c>
      <c r="F39" s="963" t="s">
        <v>857</v>
      </c>
      <c r="G39" s="1663" t="s">
        <v>625</v>
      </c>
      <c r="H39" s="566"/>
      <c r="I39" s="566"/>
      <c r="J39" s="566"/>
      <c r="K39" s="566"/>
      <c r="L39" s="566"/>
      <c r="M39" s="566"/>
      <c r="N39" s="566"/>
      <c r="O39" s="566"/>
      <c r="P39" s="566"/>
      <c r="Q39" s="566"/>
      <c r="R39" s="566"/>
      <c r="S39" s="566"/>
      <c r="T39" s="566"/>
      <c r="U39" s="566"/>
      <c r="V39" s="566"/>
      <c r="W39" s="566"/>
      <c r="X39" s="566"/>
      <c r="Y39" s="566"/>
      <c r="Z39" s="566"/>
      <c r="AA39" s="566"/>
      <c r="AB39" s="566"/>
      <c r="AC39" s="566"/>
      <c r="AD39" s="566"/>
      <c r="AE39" s="566"/>
      <c r="AF39" s="566"/>
      <c r="AG39" s="566"/>
      <c r="AH39" s="566"/>
      <c r="AI39" s="566"/>
      <c r="AJ39" s="566"/>
      <c r="AK39" s="566"/>
      <c r="AL39" s="566"/>
      <c r="AM39" s="566"/>
      <c r="AN39" s="298" t="s">
        <v>858</v>
      </c>
      <c r="AO39" s="552"/>
      <c r="AP39" s="1645"/>
      <c r="AQ39" s="1645"/>
      <c r="AV39" s="1645"/>
      <c r="AY39" s="553"/>
      <c r="BE39" s="1641"/>
      <c r="BF39" s="1641"/>
      <c r="BG39" s="1641"/>
      <c r="BH39" s="1641"/>
      <c r="BI39" s="1641"/>
      <c r="BJ39" s="1169">
        <v>23</v>
      </c>
    </row>
    <row s="1375" customFormat="1" customHeight="1" ht="24">
      <c r="A40" s="996"/>
      <c r="C40" s="1645"/>
      <c r="D40" s="1647"/>
      <c r="E40" s="1673" t="s">
        <v>859</v>
      </c>
      <c r="F40" s="1659" t="s">
        <v>860</v>
      </c>
      <c r="G40" s="1652" t="s">
        <v>625</v>
      </c>
      <c r="H40" s="566"/>
      <c r="I40" s="566"/>
      <c r="J40" s="566"/>
      <c r="K40" s="566"/>
      <c r="L40" s="566"/>
      <c r="M40" s="566"/>
      <c r="N40" s="566"/>
      <c r="O40" s="566"/>
      <c r="P40" s="566"/>
      <c r="Q40" s="566"/>
      <c r="R40" s="566"/>
      <c r="S40" s="566"/>
      <c r="T40" s="566"/>
      <c r="U40" s="566"/>
      <c r="V40" s="566"/>
      <c r="W40" s="566"/>
      <c r="X40" s="566"/>
      <c r="Y40" s="566"/>
      <c r="Z40" s="566"/>
      <c r="AA40" s="566"/>
      <c r="AB40" s="566"/>
      <c r="AC40" s="566"/>
      <c r="AD40" s="566"/>
      <c r="AE40" s="566"/>
      <c r="AF40" s="566"/>
      <c r="AG40" s="566"/>
      <c r="AH40" s="566"/>
      <c r="AI40" s="566"/>
      <c r="AJ40" s="566"/>
      <c r="AK40" s="566"/>
      <c r="AL40" s="566"/>
      <c r="AM40" s="566"/>
      <c r="AN40" s="298" t="s">
        <v>861</v>
      </c>
      <c r="AO40" s="552"/>
      <c r="AP40" s="1645"/>
      <c r="AQ40" s="1645"/>
      <c r="AV40" s="1645"/>
      <c r="AY40" s="553"/>
      <c r="BE40" s="1641"/>
      <c r="BF40" s="1641"/>
      <c r="BG40" s="1641"/>
      <c r="BH40" s="1641"/>
      <c r="BI40" s="1641"/>
      <c r="BJ40" s="1169">
        <v>23</v>
      </c>
    </row>
    <row s="1375" customFormat="1" customHeight="1" ht="24">
      <c r="A41" s="996"/>
      <c r="C41" s="1645"/>
      <c r="D41" s="1647"/>
      <c r="E41" s="1673" t="s">
        <v>862</v>
      </c>
      <c r="F41" s="1659" t="s">
        <v>863</v>
      </c>
      <c r="G41" s="1652" t="s">
        <v>625</v>
      </c>
      <c r="H41" s="566"/>
      <c r="I41" s="566"/>
      <c r="J41" s="566"/>
      <c r="K41" s="566"/>
      <c r="L41" s="566"/>
      <c r="M41" s="566"/>
      <c r="N41" s="566"/>
      <c r="O41" s="566"/>
      <c r="P41" s="566"/>
      <c r="Q41" s="566"/>
      <c r="R41" s="566"/>
      <c r="S41" s="566"/>
      <c r="T41" s="566"/>
      <c r="U41" s="566"/>
      <c r="V41" s="566"/>
      <c r="W41" s="566"/>
      <c r="X41" s="566"/>
      <c r="Y41" s="566"/>
      <c r="Z41" s="566"/>
      <c r="AA41" s="566"/>
      <c r="AB41" s="566"/>
      <c r="AC41" s="566"/>
      <c r="AD41" s="566"/>
      <c r="AE41" s="566"/>
      <c r="AF41" s="566"/>
      <c r="AG41" s="566"/>
      <c r="AH41" s="566"/>
      <c r="AI41" s="566"/>
      <c r="AJ41" s="566"/>
      <c r="AK41" s="566"/>
      <c r="AL41" s="566"/>
      <c r="AM41" s="566"/>
      <c r="AN41" s="298" t="s">
        <v>864</v>
      </c>
      <c r="AO41" s="552"/>
      <c r="AP41" s="1645"/>
      <c r="AQ41" s="1645"/>
      <c r="AV41" s="1645"/>
      <c r="AY41" s="553"/>
      <c r="BE41" s="1641"/>
      <c r="BF41" s="1641"/>
      <c r="BG41" s="1641"/>
      <c r="BH41" s="1641"/>
      <c r="BI41" s="1641"/>
      <c r="BJ41" s="1169">
        <v>23</v>
      </c>
    </row>
    <row s="1375" customFormat="1" customHeight="1" ht="24">
      <c r="A42" s="996"/>
      <c r="C42" s="1645"/>
      <c r="D42" s="1647"/>
      <c r="E42" s="1673" t="s">
        <v>865</v>
      </c>
      <c r="F42" s="1659" t="s">
        <v>866</v>
      </c>
      <c r="G42" s="1652" t="s">
        <v>625</v>
      </c>
      <c r="H42" s="566"/>
      <c r="I42" s="566"/>
      <c r="J42" s="566"/>
      <c r="K42" s="566"/>
      <c r="L42" s="566"/>
      <c r="M42" s="566"/>
      <c r="N42" s="566"/>
      <c r="O42" s="566"/>
      <c r="P42" s="566"/>
      <c r="Q42" s="566"/>
      <c r="R42" s="566"/>
      <c r="S42" s="566"/>
      <c r="T42" s="566"/>
      <c r="U42" s="566"/>
      <c r="V42" s="566"/>
      <c r="W42" s="566"/>
      <c r="X42" s="566"/>
      <c r="Y42" s="566"/>
      <c r="Z42" s="566"/>
      <c r="AA42" s="566"/>
      <c r="AB42" s="566"/>
      <c r="AC42" s="566"/>
      <c r="AD42" s="566"/>
      <c r="AE42" s="566"/>
      <c r="AF42" s="566"/>
      <c r="AG42" s="566"/>
      <c r="AH42" s="566"/>
      <c r="AI42" s="566"/>
      <c r="AJ42" s="566"/>
      <c r="AK42" s="566"/>
      <c r="AL42" s="566"/>
      <c r="AM42" s="566"/>
      <c r="AN42" s="298" t="s">
        <v>867</v>
      </c>
      <c r="AO42" s="552"/>
      <c r="AP42" s="1645"/>
      <c r="AQ42" s="1645"/>
      <c r="AV42" s="1645"/>
      <c r="AY42" s="553"/>
      <c r="BE42" s="1641"/>
      <c r="BF42" s="1641"/>
      <c r="BG42" s="1641"/>
      <c r="BH42" s="1641"/>
      <c r="BI42" s="1641"/>
      <c r="BJ42" s="1169">
        <v>23</v>
      </c>
    </row>
    <row s="1375" customFormat="1" customHeight="1" ht="35.699999999999996">
      <c r="A43" s="996"/>
      <c r="C43" s="1645" t="s">
        <v>661</v>
      </c>
      <c r="D43" s="1647"/>
      <c r="E43" s="1673" t="s">
        <v>111</v>
      </c>
      <c r="F43" s="716" t="s">
        <v>732</v>
      </c>
      <c r="G43" s="1655" t="s">
        <v>868</v>
      </c>
      <c r="H43" s="410"/>
      <c r="I43" s="410"/>
      <c r="J43" s="827"/>
      <c r="K43" s="827"/>
      <c r="L43" s="827"/>
      <c r="M43" s="827"/>
      <c r="N43" s="827"/>
      <c r="O43" s="827"/>
      <c r="P43" s="827"/>
      <c r="Q43" s="827"/>
      <c r="R43" s="827"/>
      <c r="S43" s="827"/>
      <c r="T43" s="827"/>
      <c r="U43" s="827"/>
      <c r="V43" s="827"/>
      <c r="W43" s="827"/>
      <c r="X43" s="827"/>
      <c r="Y43" s="827"/>
      <c r="Z43" s="827"/>
      <c r="AA43" s="827"/>
      <c r="AB43" s="827"/>
      <c r="AC43" s="827"/>
      <c r="AD43" s="827"/>
      <c r="AE43" s="827"/>
      <c r="AF43" s="827"/>
      <c r="AG43" s="827"/>
      <c r="AH43" s="827"/>
      <c r="AI43" s="827"/>
      <c r="AJ43" s="827"/>
      <c r="AK43" s="827"/>
      <c r="AL43" s="827"/>
      <c r="AM43" s="827"/>
      <c r="AN43" s="298" t="s">
        <v>869</v>
      </c>
      <c r="AO43" s="552"/>
      <c r="AP43" s="1645"/>
      <c r="AQ43" s="1645"/>
      <c r="AV43" s="1645"/>
      <c r="AY43" s="553"/>
      <c r="BE43" s="1641"/>
      <c r="BF43" s="1641"/>
      <c r="BG43" s="1641"/>
      <c r="BH43" s="1641"/>
      <c r="BI43" s="1641"/>
      <c r="BJ43" s="1169">
        <v>34</v>
      </c>
    </row>
    <row s="1375" customFormat="1" customHeight="1" ht="35.699999999999996">
      <c r="A44" s="996"/>
      <c r="C44" s="1645"/>
      <c r="D44" s="1647"/>
      <c r="E44" s="1673" t="s">
        <v>92</v>
      </c>
      <c r="F44" s="716" t="s">
        <v>870</v>
      </c>
      <c r="G44" s="1652" t="s">
        <v>871</v>
      </c>
      <c r="H44" s="554"/>
      <c r="I44" s="554"/>
      <c r="J44" s="554"/>
      <c r="K44" s="554"/>
      <c r="L44" s="554"/>
      <c r="M44" s="554"/>
      <c r="N44" s="554"/>
      <c r="O44" s="554"/>
      <c r="P44" s="554"/>
      <c r="Q44" s="554"/>
      <c r="R44" s="554"/>
      <c r="S44" s="554"/>
      <c r="T44" s="554"/>
      <c r="U44" s="554"/>
      <c r="V44" s="554"/>
      <c r="W44" s="554"/>
      <c r="X44" s="554"/>
      <c r="Y44" s="554"/>
      <c r="Z44" s="554"/>
      <c r="AA44" s="554"/>
      <c r="AB44" s="554"/>
      <c r="AC44" s="554"/>
      <c r="AD44" s="554"/>
      <c r="AE44" s="554"/>
      <c r="AF44" s="554"/>
      <c r="AG44" s="554"/>
      <c r="AH44" s="554"/>
      <c r="AI44" s="554"/>
      <c r="AJ44" s="554"/>
      <c r="AK44" s="554"/>
      <c r="AL44" s="554"/>
      <c r="AM44" s="554"/>
      <c r="AN44" s="298" t="s">
        <v>872</v>
      </c>
      <c r="AO44" s="552"/>
      <c r="AP44" s="1645"/>
      <c r="AQ44" s="1645"/>
      <c r="AV44" s="1645"/>
      <c r="AY44" s="553"/>
      <c r="BE44" s="1641"/>
      <c r="BF44" s="1641"/>
      <c r="BG44" s="1641"/>
      <c r="BH44" s="1641"/>
      <c r="BI44" s="1641"/>
      <c r="BJ44" s="1169">
        <v>34</v>
      </c>
    </row>
    <row s="1375" customFormat="1" customHeight="1" ht="24">
      <c r="A45" s="996"/>
      <c r="C45" s="1645"/>
      <c r="D45" s="1647"/>
      <c r="E45" s="1673" t="s">
        <v>93</v>
      </c>
      <c r="F45" s="716" t="s">
        <v>873</v>
      </c>
      <c r="G45" s="1663" t="s">
        <v>874</v>
      </c>
      <c r="H45" s="554"/>
      <c r="I45" s="554"/>
      <c r="J45" s="554"/>
      <c r="K45" s="554"/>
      <c r="L45" s="554"/>
      <c r="M45" s="554"/>
      <c r="N45" s="554"/>
      <c r="O45" s="554"/>
      <c r="P45" s="554"/>
      <c r="Q45" s="554"/>
      <c r="R45" s="554"/>
      <c r="S45" s="554"/>
      <c r="T45" s="554"/>
      <c r="U45" s="554"/>
      <c r="V45" s="554"/>
      <c r="W45" s="554"/>
      <c r="X45" s="554"/>
      <c r="Y45" s="554"/>
      <c r="Z45" s="554"/>
      <c r="AA45" s="554"/>
      <c r="AB45" s="554"/>
      <c r="AC45" s="554"/>
      <c r="AD45" s="554"/>
      <c r="AE45" s="554"/>
      <c r="AF45" s="554"/>
      <c r="AG45" s="554"/>
      <c r="AH45" s="554"/>
      <c r="AI45" s="554"/>
      <c r="AJ45" s="554"/>
      <c r="AK45" s="554"/>
      <c r="AL45" s="554"/>
      <c r="AM45" s="554"/>
      <c r="AN45" s="298" t="s">
        <v>875</v>
      </c>
      <c r="AO45" s="552"/>
      <c r="AP45" s="1645"/>
      <c r="AQ45" s="1645"/>
      <c r="AV45" s="1645"/>
      <c r="AY45" s="553"/>
      <c r="BE45" s="1641"/>
      <c r="BF45" s="1641"/>
      <c r="BG45" s="1641"/>
      <c r="BH45" s="1641"/>
      <c r="BI45" s="1641"/>
      <c r="BJ45" s="1169">
        <v>23</v>
      </c>
    </row>
    <row s="1375" customFormat="1" customHeight="1" ht="19.95">
      <c r="A46" s="996"/>
      <c r="C46" s="1645"/>
      <c r="D46" s="1647"/>
      <c r="E46" s="1673" t="s">
        <v>112</v>
      </c>
      <c r="F46" s="716" t="s">
        <v>876</v>
      </c>
      <c r="G46" s="1652" t="s">
        <v>663</v>
      </c>
      <c r="H46" s="586"/>
      <c r="I46" s="586"/>
      <c r="J46" s="586"/>
      <c r="K46" s="586"/>
      <c r="L46" s="586"/>
      <c r="M46" s="586"/>
      <c r="N46" s="586"/>
      <c r="O46" s="586"/>
      <c r="P46" s="586"/>
      <c r="Q46" s="586"/>
      <c r="R46" s="586"/>
      <c r="S46" s="586"/>
      <c r="T46" s="586"/>
      <c r="U46" s="586"/>
      <c r="V46" s="586"/>
      <c r="W46" s="586"/>
      <c r="X46" s="586"/>
      <c r="Y46" s="586"/>
      <c r="Z46" s="586"/>
      <c r="AA46" s="586"/>
      <c r="AB46" s="586"/>
      <c r="AC46" s="586"/>
      <c r="AD46" s="586"/>
      <c r="AE46" s="586"/>
      <c r="AF46" s="586"/>
      <c r="AG46" s="586"/>
      <c r="AH46" s="586"/>
      <c r="AI46" s="586"/>
      <c r="AJ46" s="586"/>
      <c r="AK46" s="586"/>
      <c r="AL46" s="586"/>
      <c r="AM46" s="586"/>
      <c r="AN46" s="298"/>
      <c r="AO46" s="552"/>
      <c r="AP46" s="1645"/>
      <c r="AQ46" s="1645"/>
      <c r="AV46" s="1645"/>
      <c r="AY46" s="553"/>
      <c r="BE46" s="1641"/>
      <c r="BF46" s="1641"/>
      <c r="BG46" s="1641"/>
      <c r="BH46" s="1641"/>
      <c r="BI46" s="1641"/>
      <c r="BJ46" s="1169">
        <v>19</v>
      </c>
    </row>
    <row customHeight="1" ht="11.549999999999999">
      <c r="D47" s="1647"/>
      <c r="J47" s="1644"/>
      <c r="K47" s="1644"/>
      <c r="L47" s="1644"/>
      <c r="M47" s="1644"/>
      <c r="N47" s="1644"/>
      <c r="O47" s="1644"/>
      <c r="P47" s="1644"/>
      <c r="Q47" s="1644"/>
      <c r="R47" s="1644"/>
      <c r="S47" s="1644"/>
      <c r="T47" s="1644"/>
      <c r="U47" s="1644"/>
      <c r="V47" s="1644"/>
      <c r="W47" s="1644"/>
      <c r="X47" s="1644"/>
      <c r="Y47" s="1644"/>
      <c r="Z47" s="1644"/>
      <c r="AA47" s="1644"/>
      <c r="AB47" s="1644"/>
      <c r="AC47" s="1644"/>
      <c r="AD47" s="1644"/>
      <c r="AE47" s="1644"/>
      <c r="AF47" s="1644"/>
      <c r="AG47" s="1644"/>
      <c r="AH47" s="1644"/>
      <c r="AI47" s="1644"/>
      <c r="AJ47" s="1644"/>
      <c r="AK47" s="1644"/>
      <c r="AL47" s="1644"/>
      <c r="AM47" s="1644"/>
      <c r="BJ47" s="1640">
        <v>11</v>
      </c>
    </row>
    <row s="1650" customFormat="1" customHeight="1" ht="11.549999999999999">
      <c r="A48" s="996"/>
      <c r="B48" s="1645"/>
      <c r="C48" s="1645"/>
      <c r="D48" s="360"/>
      <c r="J48" s="1650"/>
      <c r="K48" s="1650"/>
      <c r="L48" s="1650"/>
      <c r="M48" s="1650"/>
      <c r="N48" s="1650"/>
      <c r="O48" s="1650"/>
      <c r="P48" s="1650"/>
      <c r="Q48" s="1650"/>
      <c r="R48" s="1650"/>
      <c r="S48" s="1650"/>
      <c r="T48" s="1650"/>
      <c r="U48" s="1650"/>
      <c r="V48" s="1650"/>
      <c r="W48" s="1650"/>
      <c r="X48" s="1650"/>
      <c r="Y48" s="1650"/>
      <c r="Z48" s="1650"/>
      <c r="AA48" s="1650"/>
      <c r="AB48" s="1650"/>
      <c r="AC48" s="1650"/>
      <c r="AD48" s="1650"/>
      <c r="AE48" s="1650"/>
      <c r="AF48" s="1650"/>
      <c r="AG48" s="1650"/>
      <c r="AH48" s="1650"/>
      <c r="AI48" s="1650"/>
      <c r="AJ48" s="1650"/>
      <c r="AK48" s="1650"/>
      <c r="AL48" s="1650"/>
      <c r="AM48" s="1650"/>
      <c r="AO48" s="1169"/>
      <c r="AP48" s="1645"/>
      <c r="AQ48" s="1645"/>
      <c r="AR48" s="1169"/>
      <c r="AS48" s="1169"/>
      <c r="AT48" s="1169"/>
      <c r="AU48" s="1169"/>
      <c r="AV48" s="1645"/>
      <c r="AW48" s="1169"/>
      <c r="AX48" s="1169"/>
      <c r="AY48" s="553"/>
      <c r="AZ48" s="1169"/>
      <c r="BA48" s="1169"/>
      <c r="BB48" s="1169"/>
      <c r="BC48" s="1169"/>
      <c r="BD48" s="1169"/>
      <c r="BE48" s="1641"/>
      <c r="BF48" s="575"/>
      <c r="BG48" s="575"/>
      <c r="BH48" s="575"/>
      <c r="BI48" s="575"/>
      <c r="BJ48" s="1650">
        <v>11</v>
      </c>
    </row>
    <row s="1650" customFormat="1" customHeight="1" ht="11.549999999999999">
      <c r="A49" s="996"/>
      <c r="B49" s="1645"/>
      <c r="C49" s="1645"/>
      <c r="D49" s="36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650"/>
      <c r="AM49" s="1650"/>
      <c r="AO49" s="1169"/>
      <c r="AP49" s="1645"/>
      <c r="AQ49" s="1645"/>
      <c r="AR49" s="1169"/>
      <c r="AS49" s="1169"/>
      <c r="AT49" s="1169"/>
      <c r="AU49" s="1169"/>
      <c r="AV49" s="1645"/>
      <c r="AW49" s="1169"/>
      <c r="AX49" s="1169"/>
      <c r="AY49" s="553"/>
      <c r="AZ49" s="1169"/>
      <c r="BA49" s="1169"/>
      <c r="BB49" s="1169"/>
      <c r="BC49" s="1169"/>
      <c r="BD49" s="1169"/>
      <c r="BE49" s="1641"/>
      <c r="BF49" s="575"/>
      <c r="BG49" s="575"/>
      <c r="BH49" s="575"/>
      <c r="BI49" s="575"/>
      <c r="BJ49" s="1650">
        <v>11</v>
      </c>
    </row>
    <row s="1650" customFormat="1" customHeight="1" ht="11.549999999999999">
      <c r="A50" s="996"/>
      <c r="B50" s="1645"/>
      <c r="C50" s="1645"/>
      <c r="D50" s="360"/>
      <c r="H50" s="575"/>
      <c r="I50" s="575"/>
      <c r="J50" s="631"/>
      <c r="K50" s="631"/>
      <c r="L50" s="631"/>
      <c r="M50" s="631"/>
      <c r="N50" s="631"/>
      <c r="O50" s="631"/>
      <c r="P50" s="631"/>
      <c r="Q50" s="631"/>
      <c r="R50" s="631"/>
      <c r="S50" s="631"/>
      <c r="T50" s="631"/>
      <c r="U50" s="631"/>
      <c r="V50" s="631"/>
      <c r="W50" s="631"/>
      <c r="X50" s="631"/>
      <c r="Y50" s="631"/>
      <c r="Z50" s="631"/>
      <c r="AA50" s="631"/>
      <c r="AB50" s="631"/>
      <c r="AC50" s="631"/>
      <c r="AD50" s="631"/>
      <c r="AE50" s="631"/>
      <c r="AF50" s="631"/>
      <c r="AG50" s="631"/>
      <c r="AH50" s="631"/>
      <c r="AI50" s="631"/>
      <c r="AJ50" s="631"/>
      <c r="AK50" s="631"/>
      <c r="AL50" s="631"/>
      <c r="AM50" s="631"/>
      <c r="AO50" s="1169"/>
      <c r="AP50" s="1645"/>
      <c r="AQ50" s="1645"/>
      <c r="AR50" s="1169"/>
      <c r="AS50" s="1169"/>
      <c r="AT50" s="1169"/>
      <c r="AU50" s="1169"/>
      <c r="AV50" s="1645"/>
      <c r="AW50" s="1169"/>
      <c r="AX50" s="1169"/>
      <c r="AY50" s="553"/>
      <c r="AZ50" s="1169"/>
      <c r="BA50" s="1169"/>
      <c r="BB50" s="1169"/>
      <c r="BC50" s="1169"/>
      <c r="BD50" s="1169"/>
      <c r="BE50" s="1641"/>
      <c r="BF50" s="575"/>
      <c r="BG50" s="575"/>
      <c r="BH50" s="575"/>
      <c r="BI50" s="575"/>
      <c r="BJ50" s="1650">
        <v>11</v>
      </c>
    </row>
    <row s="1650" customFormat="1" customHeight="1" ht="11.549999999999999">
      <c r="A51" s="996"/>
      <c r="B51" s="1645"/>
      <c r="C51" s="1645"/>
      <c r="D51" s="36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650"/>
      <c r="AM51" s="1650"/>
      <c r="AO51" s="1169"/>
      <c r="AP51" s="1645"/>
      <c r="AQ51" s="1645"/>
      <c r="AR51" s="1169"/>
      <c r="AS51" s="1169"/>
      <c r="AT51" s="1169"/>
      <c r="AU51" s="1169"/>
      <c r="AV51" s="1645"/>
      <c r="AW51" s="1169"/>
      <c r="AX51" s="1169"/>
      <c r="AY51" s="553"/>
      <c r="AZ51" s="1169"/>
      <c r="BA51" s="1169"/>
      <c r="BB51" s="1169"/>
      <c r="BC51" s="1169"/>
      <c r="BD51" s="1169"/>
      <c r="BE51" s="1641"/>
      <c r="BF51" s="575"/>
      <c r="BG51" s="575"/>
      <c r="BH51" s="575"/>
      <c r="BI51" s="575"/>
      <c r="BJ51" s="1650">
        <v>11</v>
      </c>
    </row>
    <row s="1650" customFormat="1" customHeight="1" ht="11.549999999999999">
      <c r="A52" s="996"/>
      <c r="B52" s="1645"/>
      <c r="C52" s="1645"/>
      <c r="D52" s="36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650"/>
      <c r="AM52" s="1650"/>
      <c r="AO52" s="1169"/>
      <c r="AP52" s="1645"/>
      <c r="AQ52" s="1645"/>
      <c r="AR52" s="1169"/>
      <c r="AS52" s="1169"/>
      <c r="AT52" s="1169"/>
      <c r="AU52" s="1169"/>
      <c r="AV52" s="1645"/>
      <c r="AW52" s="1169"/>
      <c r="AX52" s="1169"/>
      <c r="AY52" s="553"/>
      <c r="AZ52" s="1169"/>
      <c r="BA52" s="1169"/>
      <c r="BB52" s="1169"/>
      <c r="BC52" s="1169"/>
      <c r="BD52" s="1169"/>
      <c r="BE52" s="1641"/>
      <c r="BF52" s="575"/>
      <c r="BG52" s="575"/>
      <c r="BH52" s="575"/>
      <c r="BI52" s="575"/>
      <c r="BJ52" s="1650">
        <v>11</v>
      </c>
    </row>
    <row s="1650" customFormat="1" customHeight="1" ht="11.549999999999999">
      <c r="A53" s="996"/>
      <c r="B53" s="1645"/>
      <c r="C53" s="1645"/>
      <c r="D53" s="36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650"/>
      <c r="AM53" s="1650"/>
      <c r="AO53" s="1169"/>
      <c r="AP53" s="1645"/>
      <c r="AQ53" s="1645"/>
      <c r="AR53" s="1169"/>
      <c r="AS53" s="1169"/>
      <c r="AT53" s="1169"/>
      <c r="AU53" s="1169"/>
      <c r="AV53" s="1645"/>
      <c r="AW53" s="1169"/>
      <c r="AX53" s="1169"/>
      <c r="AY53" s="553"/>
      <c r="AZ53" s="1169"/>
      <c r="BA53" s="1169"/>
      <c r="BB53" s="1169"/>
      <c r="BC53" s="1169"/>
      <c r="BD53" s="1169"/>
      <c r="BE53" s="1641"/>
      <c r="BF53" s="575"/>
      <c r="BG53" s="575"/>
      <c r="BH53" s="575"/>
      <c r="BI53" s="575"/>
      <c r="BJ53" s="1650">
        <v>11</v>
      </c>
    </row>
    <row s="1650" customFormat="1" customHeight="1" ht="11.549999999999999">
      <c r="A54" s="996"/>
      <c r="B54" s="1645"/>
      <c r="C54" s="1645"/>
      <c r="D54" s="36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650"/>
      <c r="AM54" s="1650"/>
      <c r="AO54" s="1169"/>
      <c r="AP54" s="1645"/>
      <c r="AQ54" s="1645"/>
      <c r="AR54" s="1169"/>
      <c r="AS54" s="1169"/>
      <c r="AT54" s="1169"/>
      <c r="AU54" s="1169"/>
      <c r="AV54" s="1645"/>
      <c r="AW54" s="1169"/>
      <c r="AX54" s="1169"/>
      <c r="AY54" s="553"/>
      <c r="AZ54" s="1169"/>
      <c r="BA54" s="1169"/>
      <c r="BB54" s="1169"/>
      <c r="BC54" s="1169"/>
      <c r="BD54" s="1169"/>
      <c r="BE54" s="1641"/>
      <c r="BF54" s="575"/>
      <c r="BG54" s="575"/>
      <c r="BH54" s="575"/>
      <c r="BI54" s="575"/>
      <c r="BJ54" s="1650">
        <v>11</v>
      </c>
    </row>
    <row s="1650" customFormat="1" customHeight="1" ht="11.549999999999999">
      <c r="A55" s="996"/>
      <c r="B55" s="1645"/>
      <c r="C55" s="1645"/>
      <c r="D55" s="36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650"/>
      <c r="AM55" s="1650"/>
      <c r="AO55" s="1169"/>
      <c r="AP55" s="1645"/>
      <c r="AQ55" s="1645"/>
      <c r="AR55" s="1169"/>
      <c r="AS55" s="1169"/>
      <c r="AT55" s="1169"/>
      <c r="AU55" s="1169"/>
      <c r="AV55" s="1645"/>
      <c r="AW55" s="1169"/>
      <c r="AX55" s="1169"/>
      <c r="AY55" s="553"/>
      <c r="AZ55" s="1169"/>
      <c r="BA55" s="1169"/>
      <c r="BB55" s="1169"/>
      <c r="BC55" s="1169"/>
      <c r="BD55" s="1169"/>
      <c r="BE55" s="1641"/>
      <c r="BF55" s="575"/>
      <c r="BG55" s="575"/>
      <c r="BH55" s="575"/>
      <c r="BI55" s="575"/>
      <c r="BJ55" s="1650">
        <v>11</v>
      </c>
    </row>
    <row s="1650" customFormat="1" customHeight="1" ht="11.549999999999999">
      <c r="A56" s="996"/>
      <c r="B56" s="1645"/>
      <c r="C56" s="1645"/>
      <c r="D56" s="360"/>
      <c r="J56" s="1650"/>
      <c r="K56" s="1650"/>
      <c r="L56" s="1650"/>
      <c r="M56" s="1650"/>
      <c r="N56" s="1650"/>
      <c r="O56" s="1650"/>
      <c r="P56" s="1650"/>
      <c r="Q56" s="1650"/>
      <c r="R56" s="1650"/>
      <c r="S56" s="1650"/>
      <c r="T56" s="1650"/>
      <c r="U56" s="1650"/>
      <c r="V56" s="1650"/>
      <c r="W56" s="1650"/>
      <c r="X56" s="1650"/>
      <c r="Y56" s="1650"/>
      <c r="Z56" s="1650"/>
      <c r="AA56" s="1650"/>
      <c r="AB56" s="1650"/>
      <c r="AC56" s="1650"/>
      <c r="AD56" s="1650"/>
      <c r="AE56" s="1650"/>
      <c r="AF56" s="1650"/>
      <c r="AG56" s="1650"/>
      <c r="AH56" s="1650"/>
      <c r="AI56" s="1650"/>
      <c r="AJ56" s="1650"/>
      <c r="AK56" s="1650"/>
      <c r="AL56" s="1650"/>
      <c r="AM56" s="1650"/>
      <c r="AO56" s="1169"/>
      <c r="AP56" s="1645"/>
      <c r="AQ56" s="1645"/>
      <c r="AR56" s="1169"/>
      <c r="AS56" s="1169"/>
      <c r="AT56" s="1169"/>
      <c r="AU56" s="1169"/>
      <c r="AV56" s="1645"/>
      <c r="AW56" s="1169"/>
      <c r="AX56" s="1169"/>
      <c r="AY56" s="553"/>
      <c r="AZ56" s="1169"/>
      <c r="BA56" s="1169"/>
      <c r="BB56" s="1169"/>
      <c r="BC56" s="1169"/>
      <c r="BD56" s="1169"/>
      <c r="BE56" s="1641"/>
      <c r="BF56" s="575"/>
      <c r="BG56" s="575"/>
      <c r="BH56" s="575"/>
      <c r="BI56" s="575"/>
      <c r="BJ56" s="1650">
        <v>11</v>
      </c>
    </row>
    <row s="1650" customFormat="1" customHeight="1" ht="11.549999999999999">
      <c r="A57" s="996"/>
      <c r="B57" s="1645"/>
      <c r="C57" s="1645"/>
      <c r="D57" s="36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650"/>
      <c r="AM57" s="1650"/>
      <c r="AO57" s="1169"/>
      <c r="AP57" s="1645"/>
      <c r="AQ57" s="1645"/>
      <c r="AR57" s="1169"/>
      <c r="AS57" s="1169"/>
      <c r="AT57" s="1169"/>
      <c r="AU57" s="1169"/>
      <c r="AV57" s="1645"/>
      <c r="AW57" s="1169"/>
      <c r="AX57" s="1169"/>
      <c r="AY57" s="553"/>
      <c r="AZ57" s="1169"/>
      <c r="BA57" s="1169"/>
      <c r="BB57" s="1169"/>
      <c r="BC57" s="1169"/>
      <c r="BD57" s="1169"/>
      <c r="BE57" s="1641"/>
      <c r="BF57" s="575"/>
      <c r="BG57" s="575"/>
      <c r="BH57" s="575"/>
      <c r="BI57" s="575"/>
      <c r="BJ57" s="1650">
        <v>11</v>
      </c>
    </row>
    <row s="1650" customFormat="1" customHeight="1" ht="11.549999999999999">
      <c r="A58" s="996"/>
      <c r="B58" s="1645"/>
      <c r="C58" s="1645"/>
      <c r="D58" s="36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650"/>
      <c r="AM58" s="1650"/>
      <c r="AO58" s="1169"/>
      <c r="AP58" s="1645"/>
      <c r="AQ58" s="1645"/>
      <c r="AR58" s="1169"/>
      <c r="AS58" s="1169"/>
      <c r="AT58" s="1169"/>
      <c r="AU58" s="1169"/>
      <c r="AV58" s="1645"/>
      <c r="AW58" s="1169"/>
      <c r="AX58" s="1169"/>
      <c r="AY58" s="553"/>
      <c r="AZ58" s="1169"/>
      <c r="BA58" s="1169"/>
      <c r="BB58" s="1169"/>
      <c r="BC58" s="1169"/>
      <c r="BD58" s="1169"/>
      <c r="BE58" s="1641"/>
      <c r="BF58" s="575"/>
      <c r="BG58" s="575"/>
      <c r="BH58" s="575"/>
      <c r="BI58" s="575"/>
      <c r="BJ58" s="1650">
        <v>11</v>
      </c>
    </row>
    <row s="1650" customFormat="1" customHeight="1" ht="11.549999999999999">
      <c r="A59" s="996"/>
      <c r="B59" s="1645"/>
      <c r="C59" s="1645"/>
      <c r="D59" s="36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650"/>
      <c r="AM59" s="1650"/>
      <c r="AO59" s="1169"/>
      <c r="AP59" s="1645"/>
      <c r="AQ59" s="1645"/>
      <c r="AR59" s="1169"/>
      <c r="AS59" s="1169"/>
      <c r="AT59" s="1169"/>
      <c r="AU59" s="1169"/>
      <c r="AV59" s="1645"/>
      <c r="AW59" s="1169"/>
      <c r="AX59" s="1169"/>
      <c r="AY59" s="553"/>
      <c r="AZ59" s="1169"/>
      <c r="BA59" s="1169"/>
      <c r="BB59" s="1169"/>
      <c r="BC59" s="1169"/>
      <c r="BD59" s="1169"/>
      <c r="BE59" s="1641"/>
      <c r="BF59" s="575"/>
      <c r="BG59" s="575"/>
      <c r="BH59" s="575"/>
      <c r="BI59" s="575"/>
      <c r="BJ59" s="1650">
        <v>11</v>
      </c>
    </row>
    <row s="1650" customFormat="1" customHeight="1" ht="11.549999999999999">
      <c r="A60" s="996"/>
      <c r="B60" s="1645"/>
      <c r="C60" s="1645"/>
      <c r="D60" s="36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O60" s="1169"/>
      <c r="AP60" s="1645"/>
      <c r="AQ60" s="1645"/>
      <c r="AR60" s="1169"/>
      <c r="AS60" s="1169"/>
      <c r="AT60" s="1169"/>
      <c r="AU60" s="1169"/>
      <c r="AV60" s="1645"/>
      <c r="AW60" s="1169"/>
      <c r="AX60" s="1169"/>
      <c r="AY60" s="553"/>
      <c r="AZ60" s="1169"/>
      <c r="BA60" s="1169"/>
      <c r="BB60" s="1169"/>
      <c r="BC60" s="1169"/>
      <c r="BD60" s="1169"/>
      <c r="BE60" s="1641"/>
      <c r="BF60" s="575"/>
      <c r="BG60" s="575"/>
      <c r="BH60" s="575"/>
      <c r="BI60" s="575"/>
      <c r="BJ60" s="1650">
        <v>11</v>
      </c>
    </row>
    <row s="1650" customFormat="1" customHeight="1" ht="11.549999999999999">
      <c r="A61" s="996"/>
      <c r="B61" s="1645"/>
      <c r="C61" s="1645"/>
      <c r="D61" s="360"/>
      <c r="J61" s="1650"/>
      <c r="K61" s="1650"/>
      <c r="L61" s="1650"/>
      <c r="M61" s="1650"/>
      <c r="N61" s="1650"/>
      <c r="O61" s="1650"/>
      <c r="P61" s="1650"/>
      <c r="Q61" s="1650"/>
      <c r="R61" s="1650"/>
      <c r="S61" s="1650"/>
      <c r="T61" s="1650"/>
      <c r="U61" s="1650"/>
      <c r="V61" s="1650"/>
      <c r="W61" s="1650"/>
      <c r="X61" s="1650"/>
      <c r="Y61" s="1650"/>
      <c r="Z61" s="1650"/>
      <c r="AA61" s="1650"/>
      <c r="AB61" s="1650"/>
      <c r="AC61" s="1650"/>
      <c r="AD61" s="1650"/>
      <c r="AE61" s="1650"/>
      <c r="AF61" s="1650"/>
      <c r="AG61" s="1650"/>
      <c r="AH61" s="1650"/>
      <c r="AI61" s="1650"/>
      <c r="AJ61" s="1650"/>
      <c r="AK61" s="1650"/>
      <c r="AL61" s="1650"/>
      <c r="AM61" s="1650"/>
      <c r="AO61" s="1169"/>
      <c r="AP61" s="1645"/>
      <c r="AQ61" s="1645"/>
      <c r="AR61" s="1169"/>
      <c r="AS61" s="1169"/>
      <c r="AT61" s="1169"/>
      <c r="AU61" s="1169"/>
      <c r="AV61" s="1645"/>
      <c r="AW61" s="1169"/>
      <c r="AX61" s="1169"/>
      <c r="AY61" s="553"/>
      <c r="AZ61" s="1169"/>
      <c r="BA61" s="1169"/>
      <c r="BB61" s="1169"/>
      <c r="BC61" s="1169"/>
      <c r="BD61" s="1169"/>
      <c r="BE61" s="1641"/>
      <c r="BF61" s="575"/>
      <c r="BG61" s="575"/>
      <c r="BH61" s="575"/>
      <c r="BI61" s="575"/>
      <c r="BJ61" s="1650">
        <v>11</v>
      </c>
    </row>
    <row s="1650" customFormat="1" customHeight="1" ht="11.549999999999999">
      <c r="A62" s="996"/>
      <c r="B62" s="1645"/>
      <c r="C62" s="1645"/>
      <c r="D62" s="360"/>
      <c r="J62" s="1650"/>
      <c r="K62" s="1650"/>
      <c r="L62" s="1650"/>
      <c r="M62" s="1650"/>
      <c r="N62" s="1650"/>
      <c r="O62" s="1650"/>
      <c r="P62" s="1650"/>
      <c r="Q62" s="1650"/>
      <c r="R62" s="1650"/>
      <c r="S62" s="1650"/>
      <c r="T62" s="1650"/>
      <c r="U62" s="1650"/>
      <c r="V62" s="1650"/>
      <c r="W62" s="1650"/>
      <c r="X62" s="1650"/>
      <c r="Y62" s="1650"/>
      <c r="Z62" s="1650"/>
      <c r="AA62" s="1650"/>
      <c r="AB62" s="1650"/>
      <c r="AC62" s="1650"/>
      <c r="AD62" s="1650"/>
      <c r="AE62" s="1650"/>
      <c r="AF62" s="1650"/>
      <c r="AG62" s="1650"/>
      <c r="AH62" s="1650"/>
      <c r="AI62" s="1650"/>
      <c r="AJ62" s="1650"/>
      <c r="AK62" s="1650"/>
      <c r="AL62" s="1650"/>
      <c r="AM62" s="1650"/>
      <c r="AO62" s="1169"/>
      <c r="AP62" s="1645"/>
      <c r="AQ62" s="1645"/>
      <c r="AR62" s="1169"/>
      <c r="AS62" s="1169"/>
      <c r="AT62" s="1169"/>
      <c r="AU62" s="1169"/>
      <c r="AV62" s="1645"/>
      <c r="AW62" s="1169"/>
      <c r="AX62" s="1169"/>
      <c r="AY62" s="553"/>
      <c r="AZ62" s="1169"/>
      <c r="BA62" s="1169"/>
      <c r="BB62" s="1169"/>
      <c r="BC62" s="1169"/>
      <c r="BD62" s="1169"/>
      <c r="BE62" s="1641"/>
      <c r="BF62" s="575"/>
      <c r="BG62" s="575"/>
      <c r="BH62" s="575"/>
      <c r="BI62" s="575"/>
      <c r="BJ62" s="1650">
        <v>11</v>
      </c>
    </row>
    <row s="1650" customFormat="1" customHeight="1" ht="11.549999999999999">
      <c r="A63" s="996"/>
      <c r="B63" s="1645"/>
      <c r="C63" s="1645"/>
      <c r="D63" s="360"/>
      <c r="J63" s="1650"/>
      <c r="K63" s="1650"/>
      <c r="L63" s="1650"/>
      <c r="M63" s="1650"/>
      <c r="N63" s="1650"/>
      <c r="O63" s="1650"/>
      <c r="P63" s="1650"/>
      <c r="Q63" s="1650"/>
      <c r="R63" s="1650"/>
      <c r="S63" s="1650"/>
      <c r="T63" s="1650"/>
      <c r="U63" s="1650"/>
      <c r="V63" s="1650"/>
      <c r="W63" s="1650"/>
      <c r="X63" s="1650"/>
      <c r="Y63" s="1650"/>
      <c r="Z63" s="1650"/>
      <c r="AA63" s="1650"/>
      <c r="AB63" s="1650"/>
      <c r="AC63" s="1650"/>
      <c r="AD63" s="1650"/>
      <c r="AE63" s="1650"/>
      <c r="AF63" s="1650"/>
      <c r="AG63" s="1650"/>
      <c r="AH63" s="1650"/>
      <c r="AI63" s="1650"/>
      <c r="AJ63" s="1650"/>
      <c r="AK63" s="1650"/>
      <c r="AL63" s="1650"/>
      <c r="AM63" s="1650"/>
      <c r="AO63" s="1169"/>
      <c r="AP63" s="1645"/>
      <c r="AQ63" s="1645"/>
      <c r="AR63" s="1169"/>
      <c r="AS63" s="1169"/>
      <c r="AT63" s="1169"/>
      <c r="AU63" s="1169"/>
      <c r="AV63" s="1645"/>
      <c r="AW63" s="1169"/>
      <c r="AX63" s="1169"/>
      <c r="AY63" s="553"/>
      <c r="AZ63" s="1169"/>
      <c r="BA63" s="1169"/>
      <c r="BB63" s="1169"/>
      <c r="BC63" s="1169"/>
      <c r="BD63" s="1169"/>
      <c r="BE63" s="1641"/>
      <c r="BF63" s="575"/>
      <c r="BG63" s="575"/>
      <c r="BH63" s="575"/>
      <c r="BI63" s="575"/>
      <c r="BJ63" s="1650">
        <v>11</v>
      </c>
    </row>
    <row s="1650" customFormat="1" customHeight="1" ht="11.549999999999999">
      <c r="A64" s="996"/>
      <c r="B64" s="1645"/>
      <c r="C64" s="1645"/>
      <c r="D64" s="36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c r="AI64" s="1650"/>
      <c r="AJ64" s="1650"/>
      <c r="AK64" s="1650"/>
      <c r="AL64" s="1650"/>
      <c r="AM64" s="1650"/>
      <c r="AO64" s="1169"/>
      <c r="AP64" s="1645"/>
      <c r="AQ64" s="1645"/>
      <c r="AR64" s="1169"/>
      <c r="AS64" s="1169"/>
      <c r="AT64" s="1169"/>
      <c r="AU64" s="1169"/>
      <c r="AV64" s="1645"/>
      <c r="AW64" s="1169"/>
      <c r="AX64" s="1169"/>
      <c r="AY64" s="553"/>
      <c r="AZ64" s="1169"/>
      <c r="BA64" s="1169"/>
      <c r="BB64" s="1169"/>
      <c r="BC64" s="1169"/>
      <c r="BD64" s="1169"/>
      <c r="BE64" s="1641"/>
      <c r="BF64" s="575"/>
      <c r="BG64" s="575"/>
      <c r="BH64" s="575"/>
      <c r="BI64" s="575"/>
      <c r="BJ64" s="1650">
        <v>11</v>
      </c>
    </row>
    <row s="1650" customFormat="1" customHeight="1" ht="11.549999999999999">
      <c r="A65" s="996"/>
      <c r="B65" s="1645"/>
      <c r="C65" s="1645"/>
      <c r="D65" s="36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c r="AI65" s="1650"/>
      <c r="AJ65" s="1650"/>
      <c r="AK65" s="1650"/>
      <c r="AL65" s="1650"/>
      <c r="AM65" s="1650"/>
      <c r="AO65" s="1169"/>
      <c r="AP65" s="1645"/>
      <c r="AQ65" s="1645"/>
      <c r="AR65" s="1169"/>
      <c r="AS65" s="1169"/>
      <c r="AT65" s="1169"/>
      <c r="AU65" s="1169"/>
      <c r="AV65" s="1645"/>
      <c r="AW65" s="1169"/>
      <c r="AX65" s="1169"/>
      <c r="AY65" s="553"/>
      <c r="AZ65" s="1169"/>
      <c r="BA65" s="1169"/>
      <c r="BB65" s="1169"/>
      <c r="BC65" s="1169"/>
      <c r="BD65" s="1169"/>
      <c r="BE65" s="1641"/>
      <c r="BF65" s="575"/>
      <c r="BG65" s="575"/>
      <c r="BH65" s="575"/>
      <c r="BI65" s="575"/>
      <c r="BJ65" s="1650">
        <v>11</v>
      </c>
    </row>
    <row s="1650" customFormat="1" customHeight="1" ht="11.549999999999999">
      <c r="A66" s="996"/>
      <c r="B66" s="1645"/>
      <c r="C66" s="1645"/>
      <c r="D66" s="360"/>
      <c r="J66" s="1650"/>
      <c r="K66" s="1650"/>
      <c r="L66" s="1650"/>
      <c r="M66" s="1650"/>
      <c r="N66" s="1650"/>
      <c r="O66" s="1650"/>
      <c r="P66" s="1650"/>
      <c r="Q66" s="1650"/>
      <c r="R66" s="1650"/>
      <c r="S66" s="1650"/>
      <c r="T66" s="1650"/>
      <c r="U66" s="1650"/>
      <c r="V66" s="1650"/>
      <c r="W66" s="1650"/>
      <c r="X66" s="1650"/>
      <c r="Y66" s="1650"/>
      <c r="Z66" s="1650"/>
      <c r="AA66" s="1650"/>
      <c r="AB66" s="1650"/>
      <c r="AC66" s="1650"/>
      <c r="AD66" s="1650"/>
      <c r="AE66" s="1650"/>
      <c r="AF66" s="1650"/>
      <c r="AG66" s="1650"/>
      <c r="AH66" s="1650"/>
      <c r="AI66" s="1650"/>
      <c r="AJ66" s="1650"/>
      <c r="AK66" s="1650"/>
      <c r="AL66" s="1650"/>
      <c r="AM66" s="1650"/>
      <c r="AO66" s="1169"/>
      <c r="AP66" s="1645"/>
      <c r="AQ66" s="1645"/>
      <c r="AR66" s="1169"/>
      <c r="AS66" s="1169"/>
      <c r="AT66" s="1169"/>
      <c r="AU66" s="1169"/>
      <c r="AV66" s="1645"/>
      <c r="AW66" s="1169"/>
      <c r="AX66" s="1169"/>
      <c r="AY66" s="553"/>
      <c r="AZ66" s="1169"/>
      <c r="BA66" s="1169"/>
      <c r="BB66" s="1169"/>
      <c r="BC66" s="1169"/>
      <c r="BD66" s="1169"/>
      <c r="BE66" s="1641"/>
      <c r="BF66" s="575"/>
      <c r="BG66" s="575"/>
      <c r="BH66" s="575"/>
      <c r="BI66" s="575"/>
      <c r="BJ66" s="1650">
        <v>11</v>
      </c>
    </row>
    <row s="1650" customFormat="1" customHeight="1" ht="11.549999999999999">
      <c r="A67" s="996"/>
      <c r="B67" s="1645"/>
      <c r="C67" s="1645"/>
      <c r="D67" s="360"/>
      <c r="J67" s="1650"/>
      <c r="K67" s="1650"/>
      <c r="L67" s="1650"/>
      <c r="M67" s="1650"/>
      <c r="N67" s="1650"/>
      <c r="O67" s="1650"/>
      <c r="P67" s="1650"/>
      <c r="Q67" s="1650"/>
      <c r="R67" s="1650"/>
      <c r="S67" s="1650"/>
      <c r="T67" s="1650"/>
      <c r="U67" s="1650"/>
      <c r="V67" s="1650"/>
      <c r="W67" s="1650"/>
      <c r="X67" s="1650"/>
      <c r="Y67" s="1650"/>
      <c r="Z67" s="1650"/>
      <c r="AA67" s="1650"/>
      <c r="AB67" s="1650"/>
      <c r="AC67" s="1650"/>
      <c r="AD67" s="1650"/>
      <c r="AE67" s="1650"/>
      <c r="AF67" s="1650"/>
      <c r="AG67" s="1650"/>
      <c r="AH67" s="1650"/>
      <c r="AI67" s="1650"/>
      <c r="AJ67" s="1650"/>
      <c r="AK67" s="1650"/>
      <c r="AL67" s="1650"/>
      <c r="AM67" s="1650"/>
      <c r="AO67" s="1169"/>
      <c r="AP67" s="1645"/>
      <c r="AQ67" s="1645"/>
      <c r="AR67" s="1169"/>
      <c r="AS67" s="1169"/>
      <c r="AT67" s="1169"/>
      <c r="AU67" s="1169"/>
      <c r="AV67" s="1645"/>
      <c r="AW67" s="1169"/>
      <c r="AX67" s="1169"/>
      <c r="AY67" s="553"/>
      <c r="AZ67" s="1169"/>
      <c r="BA67" s="1169"/>
      <c r="BB67" s="1169"/>
      <c r="BC67" s="1169"/>
      <c r="BD67" s="1169"/>
      <c r="BE67" s="1641"/>
      <c r="BF67" s="575"/>
      <c r="BG67" s="575"/>
      <c r="BH67" s="575"/>
      <c r="BI67" s="575"/>
      <c r="BJ67" s="1650">
        <v>11</v>
      </c>
    </row>
    <row s="1650" customFormat="1" customHeight="1" ht="11.549999999999999">
      <c r="A68" s="996"/>
      <c r="B68" s="1645"/>
      <c r="C68" s="1645"/>
      <c r="D68" s="360"/>
      <c r="J68" s="1650"/>
      <c r="K68" s="1650"/>
      <c r="L68" s="1650"/>
      <c r="M68" s="1650"/>
      <c r="N68" s="1650"/>
      <c r="O68" s="1650"/>
      <c r="P68" s="1650"/>
      <c r="Q68" s="1650"/>
      <c r="R68" s="1650"/>
      <c r="S68" s="1650"/>
      <c r="T68" s="1650"/>
      <c r="U68" s="1650"/>
      <c r="V68" s="1650"/>
      <c r="W68" s="1650"/>
      <c r="X68" s="1650"/>
      <c r="Y68" s="1650"/>
      <c r="Z68" s="1650"/>
      <c r="AA68" s="1650"/>
      <c r="AB68" s="1650"/>
      <c r="AC68" s="1650"/>
      <c r="AD68" s="1650"/>
      <c r="AE68" s="1650"/>
      <c r="AF68" s="1650"/>
      <c r="AG68" s="1650"/>
      <c r="AH68" s="1650"/>
      <c r="AI68" s="1650"/>
      <c r="AJ68" s="1650"/>
      <c r="AK68" s="1650"/>
      <c r="AL68" s="1650"/>
      <c r="AM68" s="1650"/>
      <c r="AO68" s="1169"/>
      <c r="AP68" s="1645"/>
      <c r="AQ68" s="1645"/>
      <c r="AR68" s="1169"/>
      <c r="AS68" s="1169"/>
      <c r="AT68" s="1169"/>
      <c r="AU68" s="1169"/>
      <c r="AV68" s="1645"/>
      <c r="AW68" s="1169"/>
      <c r="AX68" s="1169"/>
      <c r="AY68" s="553"/>
      <c r="AZ68" s="1169"/>
      <c r="BA68" s="1169"/>
      <c r="BB68" s="1169"/>
      <c r="BC68" s="1169"/>
      <c r="BD68" s="1169"/>
      <c r="BE68" s="1641"/>
      <c r="BF68" s="575"/>
      <c r="BG68" s="575"/>
      <c r="BH68" s="575"/>
      <c r="BI68" s="575"/>
      <c r="BJ68" s="1650">
        <v>11</v>
      </c>
    </row>
    <row s="1650" customFormat="1" customHeight="1" ht="11.549999999999999">
      <c r="A69" s="996"/>
      <c r="B69" s="1645"/>
      <c r="C69" s="1645"/>
      <c r="D69" s="360"/>
      <c r="J69" s="1650"/>
      <c r="K69" s="1650"/>
      <c r="L69" s="1650"/>
      <c r="M69" s="1650"/>
      <c r="N69" s="1650"/>
      <c r="O69" s="1650"/>
      <c r="P69" s="1650"/>
      <c r="Q69" s="1650"/>
      <c r="R69" s="1650"/>
      <c r="S69" s="1650"/>
      <c r="T69" s="1650"/>
      <c r="U69" s="1650"/>
      <c r="V69" s="1650"/>
      <c r="W69" s="1650"/>
      <c r="X69" s="1650"/>
      <c r="Y69" s="1650"/>
      <c r="Z69" s="1650"/>
      <c r="AA69" s="1650"/>
      <c r="AB69" s="1650"/>
      <c r="AC69" s="1650"/>
      <c r="AD69" s="1650"/>
      <c r="AE69" s="1650"/>
      <c r="AF69" s="1650"/>
      <c r="AG69" s="1650"/>
      <c r="AH69" s="1650"/>
      <c r="AI69" s="1650"/>
      <c r="AJ69" s="1650"/>
      <c r="AK69" s="1650"/>
      <c r="AL69" s="1650"/>
      <c r="AM69" s="1650"/>
      <c r="AO69" s="1169"/>
      <c r="AP69" s="1645"/>
      <c r="AQ69" s="1645"/>
      <c r="AR69" s="1169"/>
      <c r="AS69" s="1169"/>
      <c r="AT69" s="1169"/>
      <c r="AU69" s="1169"/>
      <c r="AV69" s="1645"/>
      <c r="AW69" s="1169"/>
      <c r="AX69" s="1169"/>
      <c r="AY69" s="553"/>
      <c r="AZ69" s="1169"/>
      <c r="BA69" s="1169"/>
      <c r="BB69" s="1169"/>
      <c r="BC69" s="1169"/>
      <c r="BD69" s="1169"/>
      <c r="BE69" s="1641"/>
      <c r="BF69" s="575"/>
      <c r="BG69" s="575"/>
      <c r="BH69" s="575"/>
      <c r="BI69" s="575"/>
      <c r="BJ69" s="1650">
        <v>11</v>
      </c>
    </row>
    <row s="1650" customFormat="1" customHeight="1" ht="11.549999999999999">
      <c r="A70" s="996"/>
      <c r="B70" s="1645"/>
      <c r="C70" s="1645"/>
      <c r="D70" s="360"/>
      <c r="J70" s="1650"/>
      <c r="K70" s="1650"/>
      <c r="L70" s="1650"/>
      <c r="M70" s="1650"/>
      <c r="N70" s="1650"/>
      <c r="O70" s="1650"/>
      <c r="P70" s="1650"/>
      <c r="Q70" s="1650"/>
      <c r="R70" s="1650"/>
      <c r="S70" s="1650"/>
      <c r="T70" s="1650"/>
      <c r="U70" s="1650"/>
      <c r="V70" s="1650"/>
      <c r="W70" s="1650"/>
      <c r="X70" s="1650"/>
      <c r="Y70" s="1650"/>
      <c r="Z70" s="1650"/>
      <c r="AA70" s="1650"/>
      <c r="AB70" s="1650"/>
      <c r="AC70" s="1650"/>
      <c r="AD70" s="1650"/>
      <c r="AE70" s="1650"/>
      <c r="AF70" s="1650"/>
      <c r="AG70" s="1650"/>
      <c r="AH70" s="1650"/>
      <c r="AI70" s="1650"/>
      <c r="AJ70" s="1650"/>
      <c r="AK70" s="1650"/>
      <c r="AL70" s="1650"/>
      <c r="AM70" s="1650"/>
      <c r="AO70" s="1169"/>
      <c r="AP70" s="1645"/>
      <c r="AQ70" s="1645"/>
      <c r="AR70" s="1169"/>
      <c r="AS70" s="1169"/>
      <c r="AT70" s="1169"/>
      <c r="AU70" s="1169"/>
      <c r="AV70" s="1645"/>
      <c r="AW70" s="1169"/>
      <c r="AX70" s="1169"/>
      <c r="AY70" s="553"/>
      <c r="AZ70" s="1169"/>
      <c r="BA70" s="1169"/>
      <c r="BB70" s="1169"/>
      <c r="BC70" s="1169"/>
      <c r="BD70" s="1169"/>
      <c r="BE70" s="1641"/>
      <c r="BF70" s="575"/>
      <c r="BG70" s="575"/>
      <c r="BH70" s="575"/>
      <c r="BI70" s="575"/>
      <c r="BJ70" s="1650">
        <v>11</v>
      </c>
    </row>
    <row s="1650" customFormat="1" customHeight="1" ht="11.549999999999999">
      <c r="A71" s="996"/>
      <c r="B71" s="1645"/>
      <c r="C71" s="1645"/>
      <c r="D71" s="360"/>
      <c r="J71" s="1650"/>
      <c r="K71" s="1650"/>
      <c r="L71" s="1650"/>
      <c r="M71" s="1650"/>
      <c r="N71" s="1650"/>
      <c r="O71" s="1650"/>
      <c r="P71" s="1650"/>
      <c r="Q71" s="1650"/>
      <c r="R71" s="1650"/>
      <c r="S71" s="1650"/>
      <c r="T71" s="1650"/>
      <c r="U71" s="1650"/>
      <c r="V71" s="1650"/>
      <c r="W71" s="1650"/>
      <c r="X71" s="1650"/>
      <c r="Y71" s="1650"/>
      <c r="Z71" s="1650"/>
      <c r="AA71" s="1650"/>
      <c r="AB71" s="1650"/>
      <c r="AC71" s="1650"/>
      <c r="AD71" s="1650"/>
      <c r="AE71" s="1650"/>
      <c r="AF71" s="1650"/>
      <c r="AG71" s="1650"/>
      <c r="AH71" s="1650"/>
      <c r="AI71" s="1650"/>
      <c r="AJ71" s="1650"/>
      <c r="AK71" s="1650"/>
      <c r="AL71" s="1650"/>
      <c r="AM71" s="1650"/>
      <c r="AO71" s="1169"/>
      <c r="AP71" s="1645"/>
      <c r="AQ71" s="1645"/>
      <c r="AR71" s="1169"/>
      <c r="AS71" s="1169"/>
      <c r="AT71" s="1169"/>
      <c r="AU71" s="1169"/>
      <c r="AV71" s="1645"/>
      <c r="AW71" s="1169"/>
      <c r="AX71" s="1169"/>
      <c r="AY71" s="553"/>
      <c r="AZ71" s="1169"/>
      <c r="BA71" s="1169"/>
      <c r="BB71" s="1169"/>
      <c r="BC71" s="1169"/>
      <c r="BD71" s="1169"/>
      <c r="BE71" s="1641"/>
      <c r="BF71" s="575"/>
      <c r="BG71" s="575"/>
      <c r="BH71" s="575"/>
      <c r="BI71" s="575"/>
      <c r="BJ71" s="1650">
        <v>11</v>
      </c>
    </row>
    <row s="1650" customFormat="1" customHeight="1" ht="11.549999999999999">
      <c r="A72" s="996"/>
      <c r="B72" s="1645"/>
      <c r="C72" s="1645"/>
      <c r="D72" s="360"/>
      <c r="J72" s="1650"/>
      <c r="K72" s="1650"/>
      <c r="L72" s="1650"/>
      <c r="M72" s="1650"/>
      <c r="N72" s="1650"/>
      <c r="O72" s="1650"/>
      <c r="P72" s="1650"/>
      <c r="Q72" s="1650"/>
      <c r="R72" s="1650"/>
      <c r="S72" s="1650"/>
      <c r="T72" s="1650"/>
      <c r="U72" s="1650"/>
      <c r="V72" s="1650"/>
      <c r="W72" s="1650"/>
      <c r="X72" s="1650"/>
      <c r="Y72" s="1650"/>
      <c r="Z72" s="1650"/>
      <c r="AA72" s="1650"/>
      <c r="AB72" s="1650"/>
      <c r="AC72" s="1650"/>
      <c r="AD72" s="1650"/>
      <c r="AE72" s="1650"/>
      <c r="AF72" s="1650"/>
      <c r="AG72" s="1650"/>
      <c r="AH72" s="1650"/>
      <c r="AI72" s="1650"/>
      <c r="AJ72" s="1650"/>
      <c r="AK72" s="1650"/>
      <c r="AL72" s="1650"/>
      <c r="AM72" s="1650"/>
      <c r="AO72" s="1169"/>
      <c r="AP72" s="1645"/>
      <c r="AQ72" s="1645"/>
      <c r="AR72" s="1169"/>
      <c r="AS72" s="1169"/>
      <c r="AT72" s="1169"/>
      <c r="AU72" s="1169"/>
      <c r="AV72" s="1645"/>
      <c r="AW72" s="1169"/>
      <c r="AX72" s="1169"/>
      <c r="AY72" s="553"/>
      <c r="AZ72" s="1169"/>
      <c r="BA72" s="1169"/>
      <c r="BB72" s="1169"/>
      <c r="BC72" s="1169"/>
      <c r="BD72" s="1169"/>
      <c r="BE72" s="1641"/>
      <c r="BF72" s="575"/>
      <c r="BG72" s="575"/>
      <c r="BH72" s="575"/>
      <c r="BI72" s="575"/>
      <c r="BJ72" s="1650">
        <v>11</v>
      </c>
    </row>
    <row s="1650" customFormat="1" customHeight="1" ht="11.549999999999999">
      <c r="A73" s="996"/>
      <c r="B73" s="1645"/>
      <c r="C73" s="1645"/>
      <c r="D73" s="360"/>
      <c r="J73" s="1650"/>
      <c r="K73" s="1650"/>
      <c r="L73" s="1650"/>
      <c r="M73" s="1650"/>
      <c r="N73" s="1650"/>
      <c r="O73" s="1650"/>
      <c r="P73" s="1650"/>
      <c r="Q73" s="1650"/>
      <c r="R73" s="1650"/>
      <c r="S73" s="1650"/>
      <c r="T73" s="1650"/>
      <c r="U73" s="1650"/>
      <c r="V73" s="1650"/>
      <c r="W73" s="1650"/>
      <c r="X73" s="1650"/>
      <c r="Y73" s="1650"/>
      <c r="Z73" s="1650"/>
      <c r="AA73" s="1650"/>
      <c r="AB73" s="1650"/>
      <c r="AC73" s="1650"/>
      <c r="AD73" s="1650"/>
      <c r="AE73" s="1650"/>
      <c r="AF73" s="1650"/>
      <c r="AG73" s="1650"/>
      <c r="AH73" s="1650"/>
      <c r="AI73" s="1650"/>
      <c r="AJ73" s="1650"/>
      <c r="AK73" s="1650"/>
      <c r="AL73" s="1650"/>
      <c r="AM73" s="1650"/>
      <c r="AO73" s="1169"/>
      <c r="AP73" s="1645"/>
      <c r="AQ73" s="1645"/>
      <c r="AR73" s="1169"/>
      <c r="AS73" s="1169"/>
      <c r="AT73" s="1169"/>
      <c r="AU73" s="1169"/>
      <c r="AV73" s="1645"/>
      <c r="AW73" s="1169"/>
      <c r="AX73" s="1169"/>
      <c r="AY73" s="553"/>
      <c r="AZ73" s="1169"/>
      <c r="BA73" s="1169"/>
      <c r="BB73" s="1169"/>
      <c r="BC73" s="1169"/>
      <c r="BD73" s="1169"/>
      <c r="BE73" s="1641"/>
      <c r="BF73" s="575"/>
      <c r="BG73" s="575"/>
      <c r="BH73" s="575"/>
      <c r="BI73" s="575"/>
      <c r="BJ73" s="1650">
        <v>11</v>
      </c>
    </row>
    <row s="1650" customFormat="1" customHeight="1" ht="11.549999999999999">
      <c r="A74" s="996"/>
      <c r="B74" s="1645"/>
      <c r="C74" s="1645"/>
      <c r="D74" s="360"/>
      <c r="J74" s="1650"/>
      <c r="K74" s="1650"/>
      <c r="L74" s="1650"/>
      <c r="M74" s="1650"/>
      <c r="N74" s="1650"/>
      <c r="O74" s="1650"/>
      <c r="P74" s="1650"/>
      <c r="Q74" s="1650"/>
      <c r="R74" s="1650"/>
      <c r="S74" s="1650"/>
      <c r="T74" s="1650"/>
      <c r="U74" s="1650"/>
      <c r="V74" s="1650"/>
      <c r="W74" s="1650"/>
      <c r="X74" s="1650"/>
      <c r="Y74" s="1650"/>
      <c r="Z74" s="1650"/>
      <c r="AA74" s="1650"/>
      <c r="AB74" s="1650"/>
      <c r="AC74" s="1650"/>
      <c r="AD74" s="1650"/>
      <c r="AE74" s="1650"/>
      <c r="AF74" s="1650"/>
      <c r="AG74" s="1650"/>
      <c r="AH74" s="1650"/>
      <c r="AI74" s="1650"/>
      <c r="AJ74" s="1650"/>
      <c r="AK74" s="1650"/>
      <c r="AL74" s="1650"/>
      <c r="AM74" s="1650"/>
      <c r="AO74" s="1169"/>
      <c r="AP74" s="1645"/>
      <c r="AQ74" s="1645"/>
      <c r="AR74" s="1169"/>
      <c r="AS74" s="1169"/>
      <c r="AT74" s="1169"/>
      <c r="AU74" s="1169"/>
      <c r="AV74" s="1645"/>
      <c r="AW74" s="1169"/>
      <c r="AX74" s="1169"/>
      <c r="AY74" s="553"/>
      <c r="AZ74" s="1169"/>
      <c r="BA74" s="1169"/>
      <c r="BB74" s="1169"/>
      <c r="BC74" s="1169"/>
      <c r="BD74" s="1169"/>
      <c r="BE74" s="1641"/>
      <c r="BF74" s="575"/>
      <c r="BG74" s="575"/>
      <c r="BH74" s="575"/>
      <c r="BI74" s="575"/>
      <c r="BJ74" s="1650">
        <v>11</v>
      </c>
    </row>
    <row s="1650" customFormat="1" customHeight="1" ht="11.549999999999999">
      <c r="A75" s="996"/>
      <c r="B75" s="1645"/>
      <c r="C75" s="1645"/>
      <c r="D75" s="36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650"/>
      <c r="AM75" s="1650"/>
      <c r="AO75" s="1169"/>
      <c r="AP75" s="1645"/>
      <c r="AQ75" s="1645"/>
      <c r="AR75" s="1169"/>
      <c r="AS75" s="1169"/>
      <c r="AT75" s="1169"/>
      <c r="AU75" s="1169"/>
      <c r="AV75" s="1645"/>
      <c r="AW75" s="1169"/>
      <c r="AX75" s="1169"/>
      <c r="AY75" s="553"/>
      <c r="AZ75" s="1169"/>
      <c r="BA75" s="1169"/>
      <c r="BB75" s="1169"/>
      <c r="BC75" s="1169"/>
      <c r="BD75" s="1169"/>
      <c r="BE75" s="1641"/>
      <c r="BF75" s="575"/>
      <c r="BG75" s="575"/>
      <c r="BH75" s="575"/>
      <c r="BI75" s="575"/>
      <c r="BJ75" s="1650">
        <v>11</v>
      </c>
    </row>
    <row s="1650" customFormat="1" customHeight="1" ht="11.549999999999999">
      <c r="A76" s="996"/>
      <c r="B76" s="1645"/>
      <c r="C76" s="1645"/>
      <c r="D76" s="36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650"/>
      <c r="AM76" s="1650"/>
      <c r="AO76" s="1169"/>
      <c r="AP76" s="1645"/>
      <c r="AQ76" s="1645"/>
      <c r="AR76" s="1169"/>
      <c r="AS76" s="1169"/>
      <c r="AT76" s="1169"/>
      <c r="AU76" s="1169"/>
      <c r="AV76" s="1645"/>
      <c r="AW76" s="1169"/>
      <c r="AX76" s="1169"/>
      <c r="AY76" s="553"/>
      <c r="AZ76" s="1169"/>
      <c r="BA76" s="1169"/>
      <c r="BB76" s="1169"/>
      <c r="BC76" s="1169"/>
      <c r="BD76" s="1169"/>
      <c r="BE76" s="1641"/>
      <c r="BF76" s="575"/>
      <c r="BG76" s="575"/>
      <c r="BH76" s="575"/>
      <c r="BI76" s="575"/>
      <c r="BJ76" s="1650">
        <v>11</v>
      </c>
    </row>
    <row s="1650" customFormat="1" customHeight="1" ht="11.549999999999999">
      <c r="A77" s="996"/>
      <c r="B77" s="1645"/>
      <c r="C77" s="1645"/>
      <c r="D77" s="36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650"/>
      <c r="AM77" s="1650"/>
      <c r="AO77" s="1169"/>
      <c r="AP77" s="1645"/>
      <c r="AQ77" s="1645"/>
      <c r="AR77" s="1169"/>
      <c r="AS77" s="1169"/>
      <c r="AT77" s="1169"/>
      <c r="AU77" s="1169"/>
      <c r="AV77" s="1645"/>
      <c r="AW77" s="1169"/>
      <c r="AX77" s="1169"/>
      <c r="AY77" s="553"/>
      <c r="AZ77" s="1169"/>
      <c r="BA77" s="1169"/>
      <c r="BB77" s="1169"/>
      <c r="BC77" s="1169"/>
      <c r="BD77" s="1169"/>
      <c r="BE77" s="1641"/>
      <c r="BF77" s="575"/>
      <c r="BG77" s="575"/>
      <c r="BH77" s="575"/>
      <c r="BI77" s="575"/>
      <c r="BJ77" s="1650">
        <v>11</v>
      </c>
    </row>
    <row s="1650" customFormat="1" customHeight="1" ht="11.549999999999999">
      <c r="A78" s="996"/>
      <c r="B78" s="1645"/>
      <c r="C78" s="1645"/>
      <c r="D78" s="36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650"/>
      <c r="AM78" s="1650"/>
      <c r="AO78" s="1169"/>
      <c r="AP78" s="1645"/>
      <c r="AQ78" s="1645"/>
      <c r="AR78" s="1169"/>
      <c r="AS78" s="1169"/>
      <c r="AT78" s="1169"/>
      <c r="AU78" s="1169"/>
      <c r="AV78" s="1645"/>
      <c r="AW78" s="1169"/>
      <c r="AX78" s="1169"/>
      <c r="AY78" s="553"/>
      <c r="AZ78" s="1169"/>
      <c r="BA78" s="1169"/>
      <c r="BB78" s="1169"/>
      <c r="BC78" s="1169"/>
      <c r="BD78" s="1169"/>
      <c r="BE78" s="1641"/>
      <c r="BF78" s="575"/>
      <c r="BG78" s="575"/>
      <c r="BH78" s="575"/>
      <c r="BI78" s="575"/>
      <c r="BJ78" s="1650">
        <v>11</v>
      </c>
    </row>
    <row s="1650" customFormat="1" customHeight="1" ht="11.549999999999999">
      <c r="A79" s="996"/>
      <c r="B79" s="1645"/>
      <c r="C79" s="1645"/>
      <c r="D79" s="36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650"/>
      <c r="AM79" s="1650"/>
      <c r="AO79" s="1169"/>
      <c r="AP79" s="1645"/>
      <c r="AQ79" s="1645"/>
      <c r="AR79" s="1169"/>
      <c r="AS79" s="1169"/>
      <c r="AT79" s="1169"/>
      <c r="AU79" s="1169"/>
      <c r="AV79" s="1645"/>
      <c r="AW79" s="1169"/>
      <c r="AX79" s="1169"/>
      <c r="AY79" s="553"/>
      <c r="AZ79" s="1169"/>
      <c r="BA79" s="1169"/>
      <c r="BB79" s="1169"/>
      <c r="BC79" s="1169"/>
      <c r="BD79" s="1169"/>
      <c r="BE79" s="1641"/>
      <c r="BF79" s="575"/>
      <c r="BG79" s="575"/>
      <c r="BH79" s="575"/>
      <c r="BI79" s="575"/>
      <c r="BJ79" s="1650">
        <v>11</v>
      </c>
    </row>
    <row s="1650" customFormat="1" customHeight="1" ht="11.549999999999999">
      <c r="A80" s="996"/>
      <c r="B80" s="1645"/>
      <c r="C80" s="1645"/>
      <c r="D80" s="36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650"/>
      <c r="AM80" s="1650"/>
      <c r="AO80" s="1169"/>
      <c r="AP80" s="1645"/>
      <c r="AQ80" s="1645"/>
      <c r="AR80" s="1169"/>
      <c r="AS80" s="1169"/>
      <c r="AT80" s="1169"/>
      <c r="AU80" s="1169"/>
      <c r="AV80" s="1645"/>
      <c r="AW80" s="1169"/>
      <c r="AX80" s="1169"/>
      <c r="AY80" s="553"/>
      <c r="AZ80" s="1169"/>
      <c r="BA80" s="1169"/>
      <c r="BB80" s="1169"/>
      <c r="BC80" s="1169"/>
      <c r="BD80" s="1169"/>
      <c r="BE80" s="1641"/>
      <c r="BF80" s="575"/>
      <c r="BG80" s="575"/>
      <c r="BH80" s="575"/>
      <c r="BI80" s="575"/>
      <c r="BJ80" s="1650">
        <v>11</v>
      </c>
    </row>
    <row s="1650" customFormat="1" customHeight="1" ht="11.549999999999999">
      <c r="A81" s="996"/>
      <c r="B81" s="1645"/>
      <c r="C81" s="1645"/>
      <c r="D81" s="36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650"/>
      <c r="AM81" s="1650"/>
      <c r="AO81" s="1169"/>
      <c r="AP81" s="1645"/>
      <c r="AQ81" s="1645"/>
      <c r="AR81" s="1169"/>
      <c r="AS81" s="1169"/>
      <c r="AT81" s="1169"/>
      <c r="AU81" s="1169"/>
      <c r="AV81" s="1645"/>
      <c r="AW81" s="1169"/>
      <c r="AX81" s="1169"/>
      <c r="AY81" s="553"/>
      <c r="AZ81" s="1169"/>
      <c r="BA81" s="1169"/>
      <c r="BB81" s="1169"/>
      <c r="BC81" s="1169"/>
      <c r="BD81" s="1169"/>
      <c r="BE81" s="1641"/>
      <c r="BF81" s="575"/>
      <c r="BG81" s="575"/>
      <c r="BH81" s="575"/>
      <c r="BI81" s="575"/>
      <c r="BJ81" s="1650">
        <v>11</v>
      </c>
    </row>
    <row s="1650" customFormat="1" customHeight="1" ht="11.549999999999999">
      <c r="A82" s="996"/>
      <c r="B82" s="1645"/>
      <c r="C82" s="1645"/>
      <c r="D82" s="36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650"/>
      <c r="AM82" s="1650"/>
      <c r="AO82" s="1169"/>
      <c r="AP82" s="1645"/>
      <c r="AQ82" s="1645"/>
      <c r="AR82" s="1169"/>
      <c r="AS82" s="1169"/>
      <c r="AT82" s="1169"/>
      <c r="AU82" s="1169"/>
      <c r="AV82" s="1645"/>
      <c r="AW82" s="1169"/>
      <c r="AX82" s="1169"/>
      <c r="AY82" s="553"/>
      <c r="AZ82" s="1169"/>
      <c r="BA82" s="1169"/>
      <c r="BB82" s="1169"/>
      <c r="BC82" s="1169"/>
      <c r="BD82" s="1169"/>
      <c r="BE82" s="1641"/>
      <c r="BF82" s="575"/>
      <c r="BG82" s="575"/>
      <c r="BH82" s="575"/>
      <c r="BI82" s="575"/>
      <c r="BJ82" s="1650">
        <v>11</v>
      </c>
    </row>
    <row s="1650" customFormat="1" customHeight="1" ht="11.549999999999999">
      <c r="A83" s="996"/>
      <c r="B83" s="1645"/>
      <c r="C83" s="1645"/>
      <c r="D83" s="36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650"/>
      <c r="AM83" s="1650"/>
      <c r="AO83" s="1169"/>
      <c r="AP83" s="1645"/>
      <c r="AQ83" s="1645"/>
      <c r="AR83" s="1169"/>
      <c r="AS83" s="1169"/>
      <c r="AT83" s="1169"/>
      <c r="AU83" s="1169"/>
      <c r="AV83" s="1645"/>
      <c r="AW83" s="1169"/>
      <c r="AX83" s="1169"/>
      <c r="AY83" s="553"/>
      <c r="AZ83" s="1169"/>
      <c r="BA83" s="1169"/>
      <c r="BB83" s="1169"/>
      <c r="BC83" s="1169"/>
      <c r="BD83" s="1169"/>
      <c r="BE83" s="1641"/>
      <c r="BF83" s="575"/>
      <c r="BG83" s="575"/>
      <c r="BH83" s="575"/>
      <c r="BI83" s="575"/>
      <c r="BJ83" s="1650">
        <v>11</v>
      </c>
    </row>
    <row s="1650" customFormat="1" customHeight="1" ht="11.549999999999999">
      <c r="A84" s="996"/>
      <c r="B84" s="1645"/>
      <c r="C84" s="1645"/>
      <c r="D84" s="36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650"/>
      <c r="AM84" s="1650"/>
      <c r="AO84" s="1169"/>
      <c r="AP84" s="1645"/>
      <c r="AQ84" s="1645"/>
      <c r="AR84" s="1169"/>
      <c r="AS84" s="1169"/>
      <c r="AT84" s="1169"/>
      <c r="AU84" s="1169"/>
      <c r="AV84" s="1645"/>
      <c r="AW84" s="1169"/>
      <c r="AX84" s="1169"/>
      <c r="AY84" s="553"/>
      <c r="AZ84" s="1169"/>
      <c r="BA84" s="1169"/>
      <c r="BB84" s="1169"/>
      <c r="BC84" s="1169"/>
      <c r="BD84" s="1169"/>
      <c r="BE84" s="1641"/>
      <c r="BF84" s="575"/>
      <c r="BG84" s="575"/>
      <c r="BH84" s="575"/>
      <c r="BI84" s="575"/>
      <c r="BJ84" s="1650">
        <v>11</v>
      </c>
    </row>
    <row s="1650" customFormat="1" customHeight="1" ht="11.549999999999999">
      <c r="A85" s="996"/>
      <c r="B85" s="1645"/>
      <c r="C85" s="1645"/>
      <c r="D85" s="36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L85" s="1650"/>
      <c r="AM85" s="1650"/>
      <c r="AO85" s="1169"/>
      <c r="AP85" s="1645"/>
      <c r="AQ85" s="1645"/>
      <c r="AR85" s="1169"/>
      <c r="AS85" s="1169"/>
      <c r="AT85" s="1169"/>
      <c r="AU85" s="1169"/>
      <c r="AV85" s="1645"/>
      <c r="AW85" s="1169"/>
      <c r="AX85" s="1169"/>
      <c r="AY85" s="553"/>
      <c r="AZ85" s="1169"/>
      <c r="BA85" s="1169"/>
      <c r="BB85" s="1169"/>
      <c r="BC85" s="1169"/>
      <c r="BD85" s="1169"/>
      <c r="BE85" s="1641"/>
      <c r="BF85" s="575"/>
      <c r="BG85" s="575"/>
      <c r="BH85" s="575"/>
      <c r="BI85" s="575"/>
      <c r="BJ85" s="1650">
        <v>11</v>
      </c>
    </row>
    <row s="1650" customFormat="1" customHeight="1" ht="11.549999999999999">
      <c r="A86" s="996"/>
      <c r="B86" s="1645"/>
      <c r="C86" s="1645"/>
      <c r="D86" s="360"/>
      <c r="J86" s="1650"/>
      <c r="K86" s="1650"/>
      <c r="L86" s="1650"/>
      <c r="M86" s="1650"/>
      <c r="N86" s="1650"/>
      <c r="O86" s="1650"/>
      <c r="P86" s="1650"/>
      <c r="Q86" s="1650"/>
      <c r="R86" s="1650"/>
      <c r="S86" s="1650"/>
      <c r="T86" s="1650"/>
      <c r="U86" s="1650"/>
      <c r="V86" s="1650"/>
      <c r="W86" s="1650"/>
      <c r="X86" s="1650"/>
      <c r="Y86" s="1650"/>
      <c r="Z86" s="1650"/>
      <c r="AA86" s="1650"/>
      <c r="AB86" s="1650"/>
      <c r="AC86" s="1650"/>
      <c r="AD86" s="1650"/>
      <c r="AE86" s="1650"/>
      <c r="AF86" s="1650"/>
      <c r="AG86" s="1650"/>
      <c r="AH86" s="1650"/>
      <c r="AI86" s="1650"/>
      <c r="AJ86" s="1650"/>
      <c r="AK86" s="1650"/>
      <c r="AL86" s="1650"/>
      <c r="AM86" s="1650"/>
      <c r="AO86" s="1169"/>
      <c r="AP86" s="1645"/>
      <c r="AQ86" s="1645"/>
      <c r="AR86" s="1169"/>
      <c r="AS86" s="1169"/>
      <c r="AT86" s="1169"/>
      <c r="AU86" s="1169"/>
      <c r="AV86" s="1645"/>
      <c r="AW86" s="1169"/>
      <c r="AX86" s="1169"/>
      <c r="AY86" s="553"/>
      <c r="AZ86" s="1169"/>
      <c r="BA86" s="1169"/>
      <c r="BB86" s="1169"/>
      <c r="BC86" s="1169"/>
      <c r="BD86" s="1169"/>
      <c r="BE86" s="1641"/>
      <c r="BF86" s="575"/>
      <c r="BG86" s="575"/>
      <c r="BH86" s="575"/>
      <c r="BI86" s="575"/>
      <c r="BJ86" s="1650">
        <v>11</v>
      </c>
    </row>
    <row s="1650" customFormat="1" customHeight="1" ht="11.549999999999999">
      <c r="A87" s="996"/>
      <c r="B87" s="1645"/>
      <c r="C87" s="1645"/>
      <c r="D87" s="360"/>
      <c r="J87" s="1650"/>
      <c r="K87" s="1650"/>
      <c r="L87" s="1650"/>
      <c r="M87" s="1650"/>
      <c r="N87" s="1650"/>
      <c r="O87" s="1650"/>
      <c r="P87" s="1650"/>
      <c r="Q87" s="1650"/>
      <c r="R87" s="1650"/>
      <c r="S87" s="1650"/>
      <c r="T87" s="1650"/>
      <c r="U87" s="1650"/>
      <c r="V87" s="1650"/>
      <c r="W87" s="1650"/>
      <c r="X87" s="1650"/>
      <c r="Y87" s="1650"/>
      <c r="Z87" s="1650"/>
      <c r="AA87" s="1650"/>
      <c r="AB87" s="1650"/>
      <c r="AC87" s="1650"/>
      <c r="AD87" s="1650"/>
      <c r="AE87" s="1650"/>
      <c r="AF87" s="1650"/>
      <c r="AG87" s="1650"/>
      <c r="AH87" s="1650"/>
      <c r="AI87" s="1650"/>
      <c r="AJ87" s="1650"/>
      <c r="AK87" s="1650"/>
      <c r="AL87" s="1650"/>
      <c r="AM87" s="1650"/>
      <c r="AO87" s="1169"/>
      <c r="AP87" s="1645"/>
      <c r="AQ87" s="1645"/>
      <c r="AR87" s="1169"/>
      <c r="AS87" s="1169"/>
      <c r="AT87" s="1169"/>
      <c r="AU87" s="1169"/>
      <c r="AV87" s="1645"/>
      <c r="AW87" s="1169"/>
      <c r="AX87" s="1169"/>
      <c r="AY87" s="553"/>
      <c r="AZ87" s="1169"/>
      <c r="BA87" s="1169"/>
      <c r="BB87" s="1169"/>
      <c r="BC87" s="1169"/>
      <c r="BD87" s="1169"/>
      <c r="BE87" s="1641"/>
      <c r="BF87" s="575"/>
      <c r="BG87" s="575"/>
      <c r="BH87" s="575"/>
      <c r="BI87" s="575"/>
      <c r="BJ87" s="1650">
        <v>11</v>
      </c>
    </row>
    <row s="1650" customFormat="1" customHeight="1" ht="11.549999999999999">
      <c r="A88" s="996"/>
      <c r="B88" s="1645"/>
      <c r="C88" s="1645"/>
      <c r="D88" s="360"/>
      <c r="J88" s="1650"/>
      <c r="K88" s="1650"/>
      <c r="L88" s="1650"/>
      <c r="M88" s="1650"/>
      <c r="N88" s="1650"/>
      <c r="O88" s="1650"/>
      <c r="P88" s="1650"/>
      <c r="Q88" s="1650"/>
      <c r="R88" s="1650"/>
      <c r="S88" s="1650"/>
      <c r="T88" s="1650"/>
      <c r="U88" s="1650"/>
      <c r="V88" s="1650"/>
      <c r="W88" s="1650"/>
      <c r="X88" s="1650"/>
      <c r="Y88" s="1650"/>
      <c r="Z88" s="1650"/>
      <c r="AA88" s="1650"/>
      <c r="AB88" s="1650"/>
      <c r="AC88" s="1650"/>
      <c r="AD88" s="1650"/>
      <c r="AE88" s="1650"/>
      <c r="AF88" s="1650"/>
      <c r="AG88" s="1650"/>
      <c r="AH88" s="1650"/>
      <c r="AI88" s="1650"/>
      <c r="AJ88" s="1650"/>
      <c r="AK88" s="1650"/>
      <c r="AL88" s="1650"/>
      <c r="AM88" s="1650"/>
      <c r="AO88" s="1169"/>
      <c r="AP88" s="1645"/>
      <c r="AQ88" s="1645"/>
      <c r="AR88" s="1169"/>
      <c r="AS88" s="1169"/>
      <c r="AT88" s="1169"/>
      <c r="AU88" s="1169"/>
      <c r="AV88" s="1645"/>
      <c r="AW88" s="1169"/>
      <c r="AX88" s="1169"/>
      <c r="AY88" s="553"/>
      <c r="AZ88" s="1169"/>
      <c r="BA88" s="1169"/>
      <c r="BB88" s="1169"/>
      <c r="BC88" s="1169"/>
      <c r="BD88" s="1169"/>
      <c r="BE88" s="1641"/>
      <c r="BF88" s="575"/>
      <c r="BG88" s="575"/>
      <c r="BH88" s="575"/>
      <c r="BI88" s="575"/>
      <c r="BJ88" s="1650">
        <v>11</v>
      </c>
    </row>
    <row s="1650" customFormat="1" customHeight="1" ht="11.549999999999999">
      <c r="A89" s="996"/>
      <c r="B89" s="1645"/>
      <c r="C89" s="1645"/>
      <c r="D89" s="360"/>
      <c r="J89" s="1650"/>
      <c r="K89" s="1650"/>
      <c r="L89" s="1650"/>
      <c r="M89" s="1650"/>
      <c r="N89" s="1650"/>
      <c r="O89" s="1650"/>
      <c r="P89" s="1650"/>
      <c r="Q89" s="1650"/>
      <c r="R89" s="1650"/>
      <c r="S89" s="1650"/>
      <c r="T89" s="1650"/>
      <c r="U89" s="1650"/>
      <c r="V89" s="1650"/>
      <c r="W89" s="1650"/>
      <c r="X89" s="1650"/>
      <c r="Y89" s="1650"/>
      <c r="Z89" s="1650"/>
      <c r="AA89" s="1650"/>
      <c r="AB89" s="1650"/>
      <c r="AC89" s="1650"/>
      <c r="AD89" s="1650"/>
      <c r="AE89" s="1650"/>
      <c r="AF89" s="1650"/>
      <c r="AG89" s="1650"/>
      <c r="AH89" s="1650"/>
      <c r="AI89" s="1650"/>
      <c r="AJ89" s="1650"/>
      <c r="AK89" s="1650"/>
      <c r="AL89" s="1650"/>
      <c r="AM89" s="1650"/>
      <c r="AO89" s="1169"/>
      <c r="AP89" s="1645"/>
      <c r="AQ89" s="1645"/>
      <c r="AR89" s="1169"/>
      <c r="AS89" s="1169"/>
      <c r="AT89" s="1169"/>
      <c r="AU89" s="1169"/>
      <c r="AV89" s="1645"/>
      <c r="AW89" s="1169"/>
      <c r="AX89" s="1169"/>
      <c r="AY89" s="553"/>
      <c r="AZ89" s="1169"/>
      <c r="BA89" s="1169"/>
      <c r="BB89" s="1169"/>
      <c r="BC89" s="1169"/>
      <c r="BD89" s="1169"/>
      <c r="BE89" s="1641"/>
      <c r="BF89" s="575"/>
      <c r="BG89" s="575"/>
      <c r="BH89" s="575"/>
      <c r="BI89" s="575"/>
      <c r="BJ89" s="1650">
        <v>11</v>
      </c>
    </row>
    <row s="1650" customFormat="1" customHeight="1" ht="11.549999999999999">
      <c r="A90" s="996"/>
      <c r="B90" s="1645"/>
      <c r="C90" s="1645"/>
      <c r="D90" s="360"/>
      <c r="J90" s="1650"/>
      <c r="K90" s="1650"/>
      <c r="L90" s="1650"/>
      <c r="M90" s="1650"/>
      <c r="N90" s="1650"/>
      <c r="O90" s="1650"/>
      <c r="P90" s="1650"/>
      <c r="Q90" s="1650"/>
      <c r="R90" s="1650"/>
      <c r="S90" s="1650"/>
      <c r="T90" s="1650"/>
      <c r="U90" s="1650"/>
      <c r="V90" s="1650"/>
      <c r="W90" s="1650"/>
      <c r="X90" s="1650"/>
      <c r="Y90" s="1650"/>
      <c r="Z90" s="1650"/>
      <c r="AA90" s="1650"/>
      <c r="AB90" s="1650"/>
      <c r="AC90" s="1650"/>
      <c r="AD90" s="1650"/>
      <c r="AE90" s="1650"/>
      <c r="AF90" s="1650"/>
      <c r="AG90" s="1650"/>
      <c r="AH90" s="1650"/>
      <c r="AI90" s="1650"/>
      <c r="AJ90" s="1650"/>
      <c r="AK90" s="1650"/>
      <c r="AL90" s="1650"/>
      <c r="AM90" s="1650"/>
      <c r="AO90" s="1169"/>
      <c r="AP90" s="1645"/>
      <c r="AQ90" s="1645"/>
      <c r="AR90" s="1169"/>
      <c r="AS90" s="1169"/>
      <c r="AT90" s="1169"/>
      <c r="AU90" s="1169"/>
      <c r="AV90" s="1645"/>
      <c r="AW90" s="1169"/>
      <c r="AX90" s="1169"/>
      <c r="AY90" s="553"/>
      <c r="AZ90" s="1169"/>
      <c r="BA90" s="1169"/>
      <c r="BB90" s="1169"/>
      <c r="BC90" s="1169"/>
      <c r="BD90" s="1169"/>
      <c r="BE90" s="1641"/>
      <c r="BF90" s="575"/>
      <c r="BG90" s="575"/>
      <c r="BH90" s="575"/>
      <c r="BI90" s="575"/>
      <c r="BJ90" s="1650">
        <v>11</v>
      </c>
    </row>
    <row s="1650" customFormat="1" customHeight="1" ht="11.549999999999999">
      <c r="A91" s="996"/>
      <c r="B91" s="1645"/>
      <c r="C91" s="1645"/>
      <c r="D91" s="360"/>
      <c r="J91" s="1650"/>
      <c r="K91" s="1650"/>
      <c r="L91" s="1650"/>
      <c r="M91" s="1650"/>
      <c r="N91" s="1650"/>
      <c r="O91" s="1650"/>
      <c r="P91" s="1650"/>
      <c r="Q91" s="1650"/>
      <c r="R91" s="1650"/>
      <c r="S91" s="1650"/>
      <c r="T91" s="1650"/>
      <c r="U91" s="1650"/>
      <c r="V91" s="1650"/>
      <c r="W91" s="1650"/>
      <c r="X91" s="1650"/>
      <c r="Y91" s="1650"/>
      <c r="Z91" s="1650"/>
      <c r="AA91" s="1650"/>
      <c r="AB91" s="1650"/>
      <c r="AC91" s="1650"/>
      <c r="AD91" s="1650"/>
      <c r="AE91" s="1650"/>
      <c r="AF91" s="1650"/>
      <c r="AG91" s="1650"/>
      <c r="AH91" s="1650"/>
      <c r="AI91" s="1650"/>
      <c r="AJ91" s="1650"/>
      <c r="AK91" s="1650"/>
      <c r="AL91" s="1650"/>
      <c r="AM91" s="1650"/>
      <c r="AO91" s="1169"/>
      <c r="AP91" s="1645"/>
      <c r="AQ91" s="1645"/>
      <c r="AR91" s="1169"/>
      <c r="AS91" s="1169"/>
      <c r="AT91" s="1169"/>
      <c r="AU91" s="1169"/>
      <c r="AV91" s="1645"/>
      <c r="AW91" s="1169"/>
      <c r="AX91" s="1169"/>
      <c r="AY91" s="553"/>
      <c r="AZ91" s="1169"/>
      <c r="BA91" s="1169"/>
      <c r="BB91" s="1169"/>
      <c r="BC91" s="1169"/>
      <c r="BD91" s="1169"/>
      <c r="BE91" s="1641"/>
      <c r="BF91" s="575"/>
      <c r="BG91" s="575"/>
      <c r="BH91" s="575"/>
      <c r="BI91" s="575"/>
      <c r="BJ91" s="1650">
        <v>11</v>
      </c>
    </row>
    <row s="1650" customFormat="1" customHeight="1" ht="11.549999999999999">
      <c r="A92" s="996"/>
      <c r="B92" s="1645"/>
      <c r="C92" s="1645"/>
      <c r="D92" s="360"/>
      <c r="J92" s="1650"/>
      <c r="K92" s="1650"/>
      <c r="L92" s="1650"/>
      <c r="M92" s="1650"/>
      <c r="N92" s="1650"/>
      <c r="O92" s="1650"/>
      <c r="P92" s="1650"/>
      <c r="Q92" s="1650"/>
      <c r="R92" s="1650"/>
      <c r="S92" s="1650"/>
      <c r="T92" s="1650"/>
      <c r="U92" s="1650"/>
      <c r="V92" s="1650"/>
      <c r="W92" s="1650"/>
      <c r="X92" s="1650"/>
      <c r="Y92" s="1650"/>
      <c r="Z92" s="1650"/>
      <c r="AA92" s="1650"/>
      <c r="AB92" s="1650"/>
      <c r="AC92" s="1650"/>
      <c r="AD92" s="1650"/>
      <c r="AE92" s="1650"/>
      <c r="AF92" s="1650"/>
      <c r="AG92" s="1650"/>
      <c r="AH92" s="1650"/>
      <c r="AI92" s="1650"/>
      <c r="AJ92" s="1650"/>
      <c r="AK92" s="1650"/>
      <c r="AL92" s="1650"/>
      <c r="AM92" s="1650"/>
      <c r="AO92" s="1169"/>
      <c r="AP92" s="1645"/>
      <c r="AQ92" s="1645"/>
      <c r="AR92" s="1169"/>
      <c r="AS92" s="1169"/>
      <c r="AT92" s="1169"/>
      <c r="AU92" s="1169"/>
      <c r="AV92" s="1645"/>
      <c r="AW92" s="1169"/>
      <c r="AX92" s="1169"/>
      <c r="AY92" s="553"/>
      <c r="AZ92" s="1169"/>
      <c r="BA92" s="1169"/>
      <c r="BB92" s="1169"/>
      <c r="BC92" s="1169"/>
      <c r="BD92" s="1169"/>
      <c r="BE92" s="1641"/>
      <c r="BF92" s="575"/>
      <c r="BG92" s="575"/>
      <c r="BH92" s="575"/>
      <c r="BI92" s="575"/>
      <c r="BJ92" s="1650">
        <v>11</v>
      </c>
    </row>
    <row s="1650" customFormat="1" customHeight="1" ht="11.549999999999999">
      <c r="A93" s="996"/>
      <c r="B93" s="1645"/>
      <c r="C93" s="1645"/>
      <c r="D93" s="360"/>
      <c r="J93" s="1650"/>
      <c r="K93" s="1650"/>
      <c r="L93" s="1650"/>
      <c r="M93" s="1650"/>
      <c r="N93" s="1650"/>
      <c r="O93" s="1650"/>
      <c r="P93" s="1650"/>
      <c r="Q93" s="1650"/>
      <c r="R93" s="1650"/>
      <c r="S93" s="1650"/>
      <c r="T93" s="1650"/>
      <c r="U93" s="1650"/>
      <c r="V93" s="1650"/>
      <c r="W93" s="1650"/>
      <c r="X93" s="1650"/>
      <c r="Y93" s="1650"/>
      <c r="Z93" s="1650"/>
      <c r="AA93" s="1650"/>
      <c r="AB93" s="1650"/>
      <c r="AC93" s="1650"/>
      <c r="AD93" s="1650"/>
      <c r="AE93" s="1650"/>
      <c r="AF93" s="1650"/>
      <c r="AG93" s="1650"/>
      <c r="AH93" s="1650"/>
      <c r="AI93" s="1650"/>
      <c r="AJ93" s="1650"/>
      <c r="AK93" s="1650"/>
      <c r="AL93" s="1650"/>
      <c r="AM93" s="1650"/>
      <c r="AO93" s="1169"/>
      <c r="AP93" s="1645"/>
      <c r="AQ93" s="1645"/>
      <c r="AR93" s="1169"/>
      <c r="AS93" s="1169"/>
      <c r="AT93" s="1169"/>
      <c r="AU93" s="1169"/>
      <c r="AV93" s="1645"/>
      <c r="AW93" s="1169"/>
      <c r="AX93" s="1169"/>
      <c r="AY93" s="553"/>
      <c r="AZ93" s="1169"/>
      <c r="BA93" s="1169"/>
      <c r="BB93" s="1169"/>
      <c r="BC93" s="1169"/>
      <c r="BD93" s="1169"/>
      <c r="BE93" s="1641"/>
      <c r="BF93" s="575"/>
      <c r="BG93" s="575"/>
      <c r="BH93" s="575"/>
      <c r="BI93" s="575"/>
      <c r="BJ93" s="1650">
        <v>11</v>
      </c>
    </row>
    <row s="1650" customFormat="1" customHeight="1" ht="11.549999999999999">
      <c r="A94" s="996"/>
      <c r="B94" s="1645"/>
      <c r="C94" s="1645"/>
      <c r="D94" s="360"/>
      <c r="J94" s="1650"/>
      <c r="K94" s="1650"/>
      <c r="L94" s="1650"/>
      <c r="M94" s="1650"/>
      <c r="N94" s="1650"/>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1650"/>
      <c r="AM94" s="1650"/>
      <c r="AO94" s="1169"/>
      <c r="AP94" s="1645"/>
      <c r="AQ94" s="1645"/>
      <c r="AR94" s="1169"/>
      <c r="AS94" s="1169"/>
      <c r="AT94" s="1169"/>
      <c r="AU94" s="1169"/>
      <c r="AV94" s="1645"/>
      <c r="AW94" s="1169"/>
      <c r="AX94" s="1169"/>
      <c r="AY94" s="553"/>
      <c r="AZ94" s="1169"/>
      <c r="BA94" s="1169"/>
      <c r="BB94" s="1169"/>
      <c r="BC94" s="1169"/>
      <c r="BD94" s="1169"/>
      <c r="BE94" s="1641"/>
      <c r="BF94" s="575"/>
      <c r="BG94" s="575"/>
      <c r="BH94" s="575"/>
      <c r="BI94" s="575"/>
      <c r="BJ94" s="1650">
        <v>11</v>
      </c>
    </row>
    <row s="1650" customFormat="1" customHeight="1" ht="11.549999999999999">
      <c r="A95" s="996"/>
      <c r="B95" s="1645"/>
      <c r="C95" s="1645"/>
      <c r="D95" s="360"/>
      <c r="J95" s="1650"/>
      <c r="K95" s="1650"/>
      <c r="L95" s="1650"/>
      <c r="M95" s="1650"/>
      <c r="N95" s="1650"/>
      <c r="O95" s="1650"/>
      <c r="P95" s="1650"/>
      <c r="Q95" s="1650"/>
      <c r="R95" s="1650"/>
      <c r="S95" s="1650"/>
      <c r="T95" s="1650"/>
      <c r="U95" s="1650"/>
      <c r="V95" s="1650"/>
      <c r="W95" s="1650"/>
      <c r="X95" s="1650"/>
      <c r="Y95" s="1650"/>
      <c r="Z95" s="1650"/>
      <c r="AA95" s="1650"/>
      <c r="AB95" s="1650"/>
      <c r="AC95" s="1650"/>
      <c r="AD95" s="1650"/>
      <c r="AE95" s="1650"/>
      <c r="AF95" s="1650"/>
      <c r="AG95" s="1650"/>
      <c r="AH95" s="1650"/>
      <c r="AI95" s="1650"/>
      <c r="AJ95" s="1650"/>
      <c r="AK95" s="1650"/>
      <c r="AL95" s="1650"/>
      <c r="AM95" s="1650"/>
      <c r="AO95" s="1169"/>
      <c r="AP95" s="1645"/>
      <c r="AQ95" s="1645"/>
      <c r="AR95" s="1169"/>
      <c r="AS95" s="1169"/>
      <c r="AT95" s="1169"/>
      <c r="AU95" s="1169"/>
      <c r="AV95" s="1645"/>
      <c r="AW95" s="1169"/>
      <c r="AX95" s="1169"/>
      <c r="AY95" s="553"/>
      <c r="AZ95" s="1169"/>
      <c r="BA95" s="1169"/>
      <c r="BB95" s="1169"/>
      <c r="BC95" s="1169"/>
      <c r="BD95" s="1169"/>
      <c r="BE95" s="1641"/>
      <c r="BF95" s="575"/>
      <c r="BG95" s="575"/>
      <c r="BH95" s="575"/>
      <c r="BI95" s="575"/>
      <c r="BJ95" s="1650">
        <v>11</v>
      </c>
    </row>
    <row s="1650" customFormat="1" customHeight="1" ht="11.549999999999999">
      <c r="A96" s="996"/>
      <c r="B96" s="1645"/>
      <c r="C96" s="1645"/>
      <c r="D96" s="360"/>
      <c r="J96" s="1650"/>
      <c r="K96" s="1650"/>
      <c r="L96" s="1650"/>
      <c r="M96" s="1650"/>
      <c r="N96" s="1650"/>
      <c r="O96" s="1650"/>
      <c r="P96" s="1650"/>
      <c r="Q96" s="1650"/>
      <c r="R96" s="1650"/>
      <c r="S96" s="1650"/>
      <c r="T96" s="1650"/>
      <c r="U96" s="1650"/>
      <c r="V96" s="1650"/>
      <c r="W96" s="1650"/>
      <c r="X96" s="1650"/>
      <c r="Y96" s="1650"/>
      <c r="Z96" s="1650"/>
      <c r="AA96" s="1650"/>
      <c r="AB96" s="1650"/>
      <c r="AC96" s="1650"/>
      <c r="AD96" s="1650"/>
      <c r="AE96" s="1650"/>
      <c r="AF96" s="1650"/>
      <c r="AG96" s="1650"/>
      <c r="AH96" s="1650"/>
      <c r="AI96" s="1650"/>
      <c r="AJ96" s="1650"/>
      <c r="AK96" s="1650"/>
      <c r="AL96" s="1650"/>
      <c r="AM96" s="1650"/>
      <c r="AO96" s="1169"/>
      <c r="AP96" s="1645"/>
      <c r="AQ96" s="1645"/>
      <c r="AR96" s="1169"/>
      <c r="AS96" s="1169"/>
      <c r="AT96" s="1169"/>
      <c r="AU96" s="1169"/>
      <c r="AV96" s="1645"/>
      <c r="AW96" s="1169"/>
      <c r="AX96" s="1169"/>
      <c r="AY96" s="553"/>
      <c r="AZ96" s="1169"/>
      <c r="BA96" s="1169"/>
      <c r="BB96" s="1169"/>
      <c r="BC96" s="1169"/>
      <c r="BD96" s="1169"/>
      <c r="BE96" s="1641"/>
      <c r="BF96" s="575"/>
      <c r="BG96" s="575"/>
      <c r="BH96" s="575"/>
      <c r="BI96" s="575"/>
      <c r="BJ96" s="1650">
        <v>11</v>
      </c>
    </row>
    <row s="1650" customFormat="1" customHeight="1" ht="11.549999999999999">
      <c r="A97" s="996"/>
      <c r="B97" s="1645"/>
      <c r="C97" s="1645"/>
      <c r="D97" s="360"/>
      <c r="J97" s="1650"/>
      <c r="K97" s="1650"/>
      <c r="L97" s="1650"/>
      <c r="M97" s="1650"/>
      <c r="N97" s="1650"/>
      <c r="O97" s="1650"/>
      <c r="P97" s="1650"/>
      <c r="Q97" s="1650"/>
      <c r="R97" s="1650"/>
      <c r="S97" s="1650"/>
      <c r="T97" s="1650"/>
      <c r="U97" s="1650"/>
      <c r="V97" s="1650"/>
      <c r="W97" s="1650"/>
      <c r="X97" s="1650"/>
      <c r="Y97" s="1650"/>
      <c r="Z97" s="1650"/>
      <c r="AA97" s="1650"/>
      <c r="AB97" s="1650"/>
      <c r="AC97" s="1650"/>
      <c r="AD97" s="1650"/>
      <c r="AE97" s="1650"/>
      <c r="AF97" s="1650"/>
      <c r="AG97" s="1650"/>
      <c r="AH97" s="1650"/>
      <c r="AI97" s="1650"/>
      <c r="AJ97" s="1650"/>
      <c r="AK97" s="1650"/>
      <c r="AL97" s="1650"/>
      <c r="AM97" s="1650"/>
      <c r="AO97" s="1169"/>
      <c r="AP97" s="1645"/>
      <c r="AQ97" s="1645"/>
      <c r="AR97" s="1169"/>
      <c r="AS97" s="1169"/>
      <c r="AT97" s="1169"/>
      <c r="AU97" s="1169"/>
      <c r="AV97" s="1645"/>
      <c r="AW97" s="1169"/>
      <c r="AX97" s="1169"/>
      <c r="AY97" s="553"/>
      <c r="AZ97" s="1169"/>
      <c r="BA97" s="1169"/>
      <c r="BB97" s="1169"/>
      <c r="BC97" s="1169"/>
      <c r="BD97" s="1169"/>
      <c r="BE97" s="1641"/>
      <c r="BF97" s="575"/>
      <c r="BG97" s="575"/>
      <c r="BH97" s="575"/>
      <c r="BI97" s="575"/>
      <c r="BJ97" s="1650">
        <v>11</v>
      </c>
    </row>
    <row s="1650" customFormat="1" customHeight="1" ht="11.549999999999999">
      <c r="A98" s="996"/>
      <c r="B98" s="1645"/>
      <c r="C98" s="1645"/>
      <c r="D98" s="360"/>
      <c r="J98" s="1650"/>
      <c r="K98" s="1650"/>
      <c r="L98" s="1650"/>
      <c r="M98" s="1650"/>
      <c r="N98" s="1650"/>
      <c r="O98" s="1650"/>
      <c r="P98" s="1650"/>
      <c r="Q98" s="1650"/>
      <c r="R98" s="1650"/>
      <c r="S98" s="1650"/>
      <c r="T98" s="1650"/>
      <c r="U98" s="1650"/>
      <c r="V98" s="1650"/>
      <c r="W98" s="1650"/>
      <c r="X98" s="1650"/>
      <c r="Y98" s="1650"/>
      <c r="Z98" s="1650"/>
      <c r="AA98" s="1650"/>
      <c r="AB98" s="1650"/>
      <c r="AC98" s="1650"/>
      <c r="AD98" s="1650"/>
      <c r="AE98" s="1650"/>
      <c r="AF98" s="1650"/>
      <c r="AG98" s="1650"/>
      <c r="AH98" s="1650"/>
      <c r="AI98" s="1650"/>
      <c r="AJ98" s="1650"/>
      <c r="AK98" s="1650"/>
      <c r="AL98" s="1650"/>
      <c r="AM98" s="1650"/>
      <c r="AO98" s="1169"/>
      <c r="AP98" s="1645"/>
      <c r="AQ98" s="1645"/>
      <c r="AR98" s="1169"/>
      <c r="AS98" s="1169"/>
      <c r="AT98" s="1169"/>
      <c r="AU98" s="1169"/>
      <c r="AV98" s="1645"/>
      <c r="AW98" s="1169"/>
      <c r="AX98" s="1169"/>
      <c r="AY98" s="553"/>
      <c r="AZ98" s="1169"/>
      <c r="BA98" s="1169"/>
      <c r="BB98" s="1169"/>
      <c r="BC98" s="1169"/>
      <c r="BD98" s="1169"/>
      <c r="BE98" s="1641"/>
      <c r="BF98" s="575"/>
      <c r="BG98" s="575"/>
      <c r="BH98" s="575"/>
      <c r="BI98" s="575"/>
      <c r="BJ98" s="1650">
        <v>11</v>
      </c>
    </row>
    <row s="1650" customFormat="1" customHeight="1" ht="11.549999999999999">
      <c r="A99" s="996"/>
      <c r="B99" s="1645"/>
      <c r="C99" s="1645"/>
      <c r="D99" s="360"/>
      <c r="J99" s="1650"/>
      <c r="K99" s="1650"/>
      <c r="L99" s="1650"/>
      <c r="M99" s="1650"/>
      <c r="N99" s="1650"/>
      <c r="O99" s="1650"/>
      <c r="P99" s="1650"/>
      <c r="Q99" s="1650"/>
      <c r="R99" s="1650"/>
      <c r="S99" s="1650"/>
      <c r="T99" s="1650"/>
      <c r="U99" s="1650"/>
      <c r="V99" s="1650"/>
      <c r="W99" s="1650"/>
      <c r="X99" s="1650"/>
      <c r="Y99" s="1650"/>
      <c r="Z99" s="1650"/>
      <c r="AA99" s="1650"/>
      <c r="AB99" s="1650"/>
      <c r="AC99" s="1650"/>
      <c r="AD99" s="1650"/>
      <c r="AE99" s="1650"/>
      <c r="AF99" s="1650"/>
      <c r="AG99" s="1650"/>
      <c r="AH99" s="1650"/>
      <c r="AI99" s="1650"/>
      <c r="AJ99" s="1650"/>
      <c r="AK99" s="1650"/>
      <c r="AL99" s="1650"/>
      <c r="AM99" s="1650"/>
      <c r="AO99" s="1169"/>
      <c r="AP99" s="1645"/>
      <c r="AQ99" s="1645"/>
      <c r="AR99" s="1169"/>
      <c r="AS99" s="1169"/>
      <c r="AT99" s="1169"/>
      <c r="AU99" s="1169"/>
      <c r="AV99" s="1645"/>
      <c r="AW99" s="1169"/>
      <c r="AX99" s="1169"/>
      <c r="AY99" s="553"/>
      <c r="AZ99" s="1169"/>
      <c r="BA99" s="1169"/>
      <c r="BB99" s="1169"/>
      <c r="BC99" s="1169"/>
      <c r="BD99" s="1169"/>
      <c r="BE99" s="1641"/>
      <c r="BF99" s="575"/>
      <c r="BG99" s="575"/>
      <c r="BH99" s="575"/>
      <c r="BI99" s="575"/>
      <c r="BJ99" s="1650">
        <v>11</v>
      </c>
    </row>
    <row s="1650" customFormat="1" customHeight="1" ht="11.549999999999999">
      <c r="A100" s="996"/>
      <c r="B100" s="1645"/>
      <c r="C100" s="1645"/>
      <c r="D100" s="360"/>
      <c r="J100" s="1650"/>
      <c r="K100" s="1650"/>
      <c r="L100" s="1650"/>
      <c r="M100" s="1650"/>
      <c r="N100" s="1650"/>
      <c r="O100" s="1650"/>
      <c r="P100" s="1650"/>
      <c r="Q100" s="1650"/>
      <c r="R100" s="1650"/>
      <c r="S100" s="1650"/>
      <c r="T100" s="1650"/>
      <c r="U100" s="1650"/>
      <c r="V100" s="1650"/>
      <c r="W100" s="1650"/>
      <c r="X100" s="1650"/>
      <c r="Y100" s="1650"/>
      <c r="Z100" s="1650"/>
      <c r="AA100" s="1650"/>
      <c r="AB100" s="1650"/>
      <c r="AC100" s="1650"/>
      <c r="AD100" s="1650"/>
      <c r="AE100" s="1650"/>
      <c r="AF100" s="1650"/>
      <c r="AG100" s="1650"/>
      <c r="AH100" s="1650"/>
      <c r="AI100" s="1650"/>
      <c r="AJ100" s="1650"/>
      <c r="AK100" s="1650"/>
      <c r="AL100" s="1650"/>
      <c r="AM100" s="1650"/>
      <c r="AO100" s="1169"/>
      <c r="AP100" s="1645"/>
      <c r="AQ100" s="1645"/>
      <c r="AR100" s="1169"/>
      <c r="AS100" s="1169"/>
      <c r="AT100" s="1169"/>
      <c r="AU100" s="1169"/>
      <c r="AV100" s="1645"/>
      <c r="AW100" s="1169"/>
      <c r="AX100" s="1169"/>
      <c r="AY100" s="553"/>
      <c r="AZ100" s="1169"/>
      <c r="BA100" s="1169"/>
      <c r="BB100" s="1169"/>
      <c r="BC100" s="1169"/>
      <c r="BD100" s="1169"/>
      <c r="BE100" s="1641"/>
      <c r="BF100" s="575"/>
      <c r="BG100" s="575"/>
      <c r="BH100" s="575"/>
      <c r="BI100" s="575"/>
      <c r="BJ100" s="1650">
        <v>11</v>
      </c>
    </row>
    <row s="1650" customFormat="1" customHeight="1" ht="11.549999999999999">
      <c r="A101" s="996"/>
      <c r="B101" s="1645"/>
      <c r="C101" s="1645"/>
      <c r="D101" s="360"/>
      <c r="J101" s="1650"/>
      <c r="K101" s="1650"/>
      <c r="L101" s="1650"/>
      <c r="M101" s="1650"/>
      <c r="N101" s="1650"/>
      <c r="O101" s="1650"/>
      <c r="P101" s="1650"/>
      <c r="Q101" s="1650"/>
      <c r="R101" s="1650"/>
      <c r="S101" s="1650"/>
      <c r="T101" s="1650"/>
      <c r="U101" s="1650"/>
      <c r="V101" s="1650"/>
      <c r="W101" s="1650"/>
      <c r="X101" s="1650"/>
      <c r="Y101" s="1650"/>
      <c r="Z101" s="1650"/>
      <c r="AA101" s="1650"/>
      <c r="AB101" s="1650"/>
      <c r="AC101" s="1650"/>
      <c r="AD101" s="1650"/>
      <c r="AE101" s="1650"/>
      <c r="AF101" s="1650"/>
      <c r="AG101" s="1650"/>
      <c r="AH101" s="1650"/>
      <c r="AI101" s="1650"/>
      <c r="AJ101" s="1650"/>
      <c r="AK101" s="1650"/>
      <c r="AL101" s="1650"/>
      <c r="AM101" s="1650"/>
      <c r="AO101" s="1169"/>
      <c r="AP101" s="1645"/>
      <c r="AQ101" s="1645"/>
      <c r="AR101" s="1169"/>
      <c r="AS101" s="1169"/>
      <c r="AT101" s="1169"/>
      <c r="AU101" s="1169"/>
      <c r="AV101" s="1645"/>
      <c r="AW101" s="1169"/>
      <c r="AX101" s="1169"/>
      <c r="AY101" s="553"/>
      <c r="AZ101" s="1169"/>
      <c r="BA101" s="1169"/>
      <c r="BB101" s="1169"/>
      <c r="BC101" s="1169"/>
      <c r="BD101" s="1169"/>
      <c r="BE101" s="1641"/>
      <c r="BF101" s="575"/>
      <c r="BG101" s="575"/>
      <c r="BH101" s="575"/>
      <c r="BI101" s="575"/>
      <c r="BJ101" s="1650">
        <v>11</v>
      </c>
    </row>
    <row s="1650" customFormat="1" customHeight="1" ht="11.549999999999999">
      <c r="A102" s="996"/>
      <c r="B102" s="1645"/>
      <c r="C102" s="1645"/>
      <c r="D102" s="360"/>
      <c r="J102" s="1650"/>
      <c r="K102" s="1650"/>
      <c r="L102" s="1650"/>
      <c r="M102" s="1650"/>
      <c r="N102" s="1650"/>
      <c r="O102" s="1650"/>
      <c r="P102" s="1650"/>
      <c r="Q102" s="1650"/>
      <c r="R102" s="1650"/>
      <c r="S102" s="1650"/>
      <c r="T102" s="1650"/>
      <c r="U102" s="1650"/>
      <c r="V102" s="1650"/>
      <c r="W102" s="1650"/>
      <c r="X102" s="1650"/>
      <c r="Y102" s="1650"/>
      <c r="Z102" s="1650"/>
      <c r="AA102" s="1650"/>
      <c r="AB102" s="1650"/>
      <c r="AC102" s="1650"/>
      <c r="AD102" s="1650"/>
      <c r="AE102" s="1650"/>
      <c r="AF102" s="1650"/>
      <c r="AG102" s="1650"/>
      <c r="AH102" s="1650"/>
      <c r="AI102" s="1650"/>
      <c r="AJ102" s="1650"/>
      <c r="AK102" s="1650"/>
      <c r="AL102" s="1650"/>
      <c r="AM102" s="1650"/>
      <c r="AO102" s="1169"/>
      <c r="AP102" s="1645"/>
      <c r="AQ102" s="1645"/>
      <c r="AR102" s="1169"/>
      <c r="AS102" s="1169"/>
      <c r="AT102" s="1169"/>
      <c r="AU102" s="1169"/>
      <c r="AV102" s="1645"/>
      <c r="AW102" s="1169"/>
      <c r="AX102" s="1169"/>
      <c r="AY102" s="553"/>
      <c r="AZ102" s="1169"/>
      <c r="BA102" s="1169"/>
      <c r="BB102" s="1169"/>
      <c r="BC102" s="1169"/>
      <c r="BD102" s="1169"/>
      <c r="BE102" s="1641"/>
      <c r="BF102" s="575"/>
      <c r="BG102" s="575"/>
      <c r="BH102" s="575"/>
      <c r="BI102" s="575"/>
      <c r="BJ102" s="1650">
        <v>11</v>
      </c>
    </row>
    <row s="1650" customFormat="1" customHeight="1" ht="11.549999999999999">
      <c r="A103" s="996"/>
      <c r="B103" s="1645"/>
      <c r="C103" s="1645"/>
      <c r="D103" s="360"/>
      <c r="J103" s="1650"/>
      <c r="K103" s="1650"/>
      <c r="L103" s="1650"/>
      <c r="M103" s="1650"/>
      <c r="N103" s="1650"/>
      <c r="O103" s="1650"/>
      <c r="P103" s="1650"/>
      <c r="Q103" s="1650"/>
      <c r="R103" s="1650"/>
      <c r="S103" s="1650"/>
      <c r="T103" s="1650"/>
      <c r="U103" s="1650"/>
      <c r="V103" s="1650"/>
      <c r="W103" s="1650"/>
      <c r="X103" s="1650"/>
      <c r="Y103" s="1650"/>
      <c r="Z103" s="1650"/>
      <c r="AA103" s="1650"/>
      <c r="AB103" s="1650"/>
      <c r="AC103" s="1650"/>
      <c r="AD103" s="1650"/>
      <c r="AE103" s="1650"/>
      <c r="AF103" s="1650"/>
      <c r="AG103" s="1650"/>
      <c r="AH103" s="1650"/>
      <c r="AI103" s="1650"/>
      <c r="AJ103" s="1650"/>
      <c r="AK103" s="1650"/>
      <c r="AL103" s="1650"/>
      <c r="AM103" s="1650"/>
      <c r="AO103" s="1169"/>
      <c r="AP103" s="1645"/>
      <c r="AQ103" s="1645"/>
      <c r="AR103" s="1169"/>
      <c r="AS103" s="1169"/>
      <c r="AT103" s="1169"/>
      <c r="AU103" s="1169"/>
      <c r="AV103" s="1645"/>
      <c r="AW103" s="1169"/>
      <c r="AX103" s="1169"/>
      <c r="AY103" s="553"/>
      <c r="AZ103" s="1169"/>
      <c r="BA103" s="1169"/>
      <c r="BB103" s="1169"/>
      <c r="BC103" s="1169"/>
      <c r="BD103" s="1169"/>
      <c r="BE103" s="1641"/>
      <c r="BF103" s="575"/>
      <c r="BG103" s="575"/>
      <c r="BH103" s="575"/>
      <c r="BI103" s="575"/>
      <c r="BJ103" s="1650">
        <v>11</v>
      </c>
    </row>
    <row s="1650" customFormat="1" customHeight="1" ht="11.549999999999999">
      <c r="A104" s="996"/>
      <c r="B104" s="1645"/>
      <c r="C104" s="1645"/>
      <c r="D104" s="360"/>
      <c r="J104" s="1650"/>
      <c r="K104" s="1650"/>
      <c r="L104" s="1650"/>
      <c r="M104" s="1650"/>
      <c r="N104" s="1650"/>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0"/>
      <c r="AJ104" s="1650"/>
      <c r="AK104" s="1650"/>
      <c r="AL104" s="1650"/>
      <c r="AM104" s="1650"/>
      <c r="AO104" s="1169"/>
      <c r="AP104" s="1645"/>
      <c r="AQ104" s="1645"/>
      <c r="AR104" s="1169"/>
      <c r="AS104" s="1169"/>
      <c r="AT104" s="1169"/>
      <c r="AU104" s="1169"/>
      <c r="AV104" s="1645"/>
      <c r="AW104" s="1169"/>
      <c r="AX104" s="1169"/>
      <c r="AY104" s="553"/>
      <c r="AZ104" s="1169"/>
      <c r="BA104" s="1169"/>
      <c r="BB104" s="1169"/>
      <c r="BC104" s="1169"/>
      <c r="BD104" s="1169"/>
      <c r="BE104" s="1641"/>
      <c r="BF104" s="575"/>
      <c r="BG104" s="575"/>
      <c r="BH104" s="575"/>
      <c r="BI104" s="575"/>
      <c r="BJ104" s="1650">
        <v>11</v>
      </c>
    </row>
    <row s="1650" customFormat="1" customHeight="1" ht="11.549999999999999">
      <c r="A105" s="996"/>
      <c r="B105" s="1645"/>
      <c r="C105" s="1645"/>
      <c r="D105" s="360"/>
      <c r="J105" s="1650"/>
      <c r="K105" s="1650"/>
      <c r="L105" s="1650"/>
      <c r="M105" s="1650"/>
      <c r="N105" s="1650"/>
      <c r="O105" s="1650"/>
      <c r="P105" s="1650"/>
      <c r="Q105" s="1650"/>
      <c r="R105" s="1650"/>
      <c r="S105" s="1650"/>
      <c r="T105" s="1650"/>
      <c r="U105" s="1650"/>
      <c r="V105" s="1650"/>
      <c r="W105" s="1650"/>
      <c r="X105" s="1650"/>
      <c r="Y105" s="1650"/>
      <c r="Z105" s="1650"/>
      <c r="AA105" s="1650"/>
      <c r="AB105" s="1650"/>
      <c r="AC105" s="1650"/>
      <c r="AD105" s="1650"/>
      <c r="AE105" s="1650"/>
      <c r="AF105" s="1650"/>
      <c r="AG105" s="1650"/>
      <c r="AH105" s="1650"/>
      <c r="AI105" s="1650"/>
      <c r="AJ105" s="1650"/>
      <c r="AK105" s="1650"/>
      <c r="AL105" s="1650"/>
      <c r="AM105" s="1650"/>
      <c r="AO105" s="1169"/>
      <c r="AP105" s="1645"/>
      <c r="AQ105" s="1645"/>
      <c r="AR105" s="1169"/>
      <c r="AS105" s="1169"/>
      <c r="AT105" s="1169"/>
      <c r="AU105" s="1169"/>
      <c r="AV105" s="1645"/>
      <c r="AW105" s="1169"/>
      <c r="AX105" s="1169"/>
      <c r="AY105" s="553"/>
      <c r="AZ105" s="1169"/>
      <c r="BA105" s="1169"/>
      <c r="BB105" s="1169"/>
      <c r="BC105" s="1169"/>
      <c r="BD105" s="1169"/>
      <c r="BE105" s="1641"/>
      <c r="BF105" s="575"/>
      <c r="BG105" s="575"/>
      <c r="BH105" s="575"/>
      <c r="BI105" s="575"/>
      <c r="BJ105" s="1650">
        <v>11</v>
      </c>
    </row>
    <row s="1650" customFormat="1" customHeight="1" ht="11.549999999999999">
      <c r="A106" s="996"/>
      <c r="B106" s="1645"/>
      <c r="C106" s="1645"/>
      <c r="D106" s="360"/>
      <c r="J106" s="1650"/>
      <c r="K106" s="1650"/>
      <c r="L106" s="1650"/>
      <c r="M106" s="1650"/>
      <c r="N106" s="1650"/>
      <c r="O106" s="1650"/>
      <c r="P106" s="1650"/>
      <c r="Q106" s="1650"/>
      <c r="R106" s="1650"/>
      <c r="S106" s="1650"/>
      <c r="T106" s="1650"/>
      <c r="U106" s="1650"/>
      <c r="V106" s="1650"/>
      <c r="W106" s="1650"/>
      <c r="X106" s="1650"/>
      <c r="Y106" s="1650"/>
      <c r="Z106" s="1650"/>
      <c r="AA106" s="1650"/>
      <c r="AB106" s="1650"/>
      <c r="AC106" s="1650"/>
      <c r="AD106" s="1650"/>
      <c r="AE106" s="1650"/>
      <c r="AF106" s="1650"/>
      <c r="AG106" s="1650"/>
      <c r="AH106" s="1650"/>
      <c r="AI106" s="1650"/>
      <c r="AJ106" s="1650"/>
      <c r="AK106" s="1650"/>
      <c r="AL106" s="1650"/>
      <c r="AM106" s="1650"/>
      <c r="AO106" s="1169"/>
      <c r="AP106" s="1645"/>
      <c r="AQ106" s="1645"/>
      <c r="AR106" s="1169"/>
      <c r="AS106" s="1169"/>
      <c r="AT106" s="1169"/>
      <c r="AU106" s="1169"/>
      <c r="AV106" s="1645"/>
      <c r="AW106" s="1169"/>
      <c r="AX106" s="1169"/>
      <c r="AY106" s="553"/>
      <c r="AZ106" s="1169"/>
      <c r="BA106" s="1169"/>
      <c r="BB106" s="1169"/>
      <c r="BC106" s="1169"/>
      <c r="BD106" s="1169"/>
      <c r="BE106" s="1641"/>
      <c r="BF106" s="575"/>
      <c r="BG106" s="575"/>
      <c r="BH106" s="575"/>
      <c r="BI106" s="575"/>
      <c r="BJ106" s="1650">
        <v>11</v>
      </c>
    </row>
    <row s="1650" customFormat="1" customHeight="1" ht="11.549999999999999">
      <c r="A107" s="996"/>
      <c r="B107" s="1645"/>
      <c r="C107" s="1645"/>
      <c r="D107" s="360"/>
      <c r="J107" s="1650"/>
      <c r="K107" s="1650"/>
      <c r="L107" s="1650"/>
      <c r="M107" s="1650"/>
      <c r="N107" s="1650"/>
      <c r="O107" s="1650"/>
      <c r="P107" s="1650"/>
      <c r="Q107" s="1650"/>
      <c r="R107" s="1650"/>
      <c r="S107" s="1650"/>
      <c r="T107" s="1650"/>
      <c r="U107" s="1650"/>
      <c r="V107" s="1650"/>
      <c r="W107" s="1650"/>
      <c r="X107" s="1650"/>
      <c r="Y107" s="1650"/>
      <c r="Z107" s="1650"/>
      <c r="AA107" s="1650"/>
      <c r="AB107" s="1650"/>
      <c r="AC107" s="1650"/>
      <c r="AD107" s="1650"/>
      <c r="AE107" s="1650"/>
      <c r="AF107" s="1650"/>
      <c r="AG107" s="1650"/>
      <c r="AH107" s="1650"/>
      <c r="AI107" s="1650"/>
      <c r="AJ107" s="1650"/>
      <c r="AK107" s="1650"/>
      <c r="AL107" s="1650"/>
      <c r="AM107" s="1650"/>
      <c r="AO107" s="1169"/>
      <c r="AP107" s="1645"/>
      <c r="AQ107" s="1645"/>
      <c r="AR107" s="1169"/>
      <c r="AS107" s="1169"/>
      <c r="AT107" s="1169"/>
      <c r="AU107" s="1169"/>
      <c r="AV107" s="1645"/>
      <c r="AW107" s="1169"/>
      <c r="AX107" s="1169"/>
      <c r="AY107" s="553"/>
      <c r="AZ107" s="1169"/>
      <c r="BA107" s="1169"/>
      <c r="BB107" s="1169"/>
      <c r="BC107" s="1169"/>
      <c r="BD107" s="1169"/>
      <c r="BE107" s="1641"/>
      <c r="BF107" s="575"/>
      <c r="BG107" s="575"/>
      <c r="BH107" s="575"/>
      <c r="BI107" s="575"/>
      <c r="BJ107" s="1650">
        <v>11</v>
      </c>
    </row>
    <row s="1650" customFormat="1" customHeight="1" ht="11.549999999999999">
      <c r="A108" s="996"/>
      <c r="B108" s="1645"/>
      <c r="C108" s="1645"/>
      <c r="D108" s="360"/>
      <c r="J108" s="1650"/>
      <c r="K108" s="1650"/>
      <c r="L108" s="1650"/>
      <c r="M108" s="1650"/>
      <c r="N108" s="1650"/>
      <c r="O108" s="1650"/>
      <c r="P108" s="1650"/>
      <c r="Q108" s="1650"/>
      <c r="R108" s="1650"/>
      <c r="S108" s="1650"/>
      <c r="T108" s="1650"/>
      <c r="U108" s="1650"/>
      <c r="V108" s="1650"/>
      <c r="W108" s="1650"/>
      <c r="X108" s="1650"/>
      <c r="Y108" s="1650"/>
      <c r="Z108" s="1650"/>
      <c r="AA108" s="1650"/>
      <c r="AB108" s="1650"/>
      <c r="AC108" s="1650"/>
      <c r="AD108" s="1650"/>
      <c r="AE108" s="1650"/>
      <c r="AF108" s="1650"/>
      <c r="AG108" s="1650"/>
      <c r="AH108" s="1650"/>
      <c r="AI108" s="1650"/>
      <c r="AJ108" s="1650"/>
      <c r="AK108" s="1650"/>
      <c r="AL108" s="1650"/>
      <c r="AM108" s="1650"/>
      <c r="AO108" s="1169"/>
      <c r="AP108" s="1645"/>
      <c r="AQ108" s="1645"/>
      <c r="AR108" s="1169"/>
      <c r="AS108" s="1169"/>
      <c r="AT108" s="1169"/>
      <c r="AU108" s="1169"/>
      <c r="AV108" s="1645"/>
      <c r="AW108" s="1169"/>
      <c r="AX108" s="1169"/>
      <c r="AY108" s="553"/>
      <c r="AZ108" s="1169"/>
      <c r="BA108" s="1169"/>
      <c r="BB108" s="1169"/>
      <c r="BC108" s="1169"/>
      <c r="BD108" s="1169"/>
      <c r="BE108" s="1641"/>
      <c r="BF108" s="575"/>
      <c r="BG108" s="575"/>
      <c r="BH108" s="575"/>
      <c r="BI108" s="575"/>
      <c r="BJ108" s="1650">
        <v>11</v>
      </c>
    </row>
    <row s="1650" customFormat="1" customHeight="1" ht="11.549999999999999">
      <c r="A109" s="996"/>
      <c r="B109" s="1645"/>
      <c r="C109" s="1645"/>
      <c r="D109" s="360"/>
      <c r="J109" s="1650"/>
      <c r="K109" s="1650"/>
      <c r="L109" s="1650"/>
      <c r="M109" s="1650"/>
      <c r="N109" s="1650"/>
      <c r="O109" s="1650"/>
      <c r="P109" s="1650"/>
      <c r="Q109" s="1650"/>
      <c r="R109" s="1650"/>
      <c r="S109" s="1650"/>
      <c r="T109" s="1650"/>
      <c r="U109" s="1650"/>
      <c r="V109" s="1650"/>
      <c r="W109" s="1650"/>
      <c r="X109" s="1650"/>
      <c r="Y109" s="1650"/>
      <c r="Z109" s="1650"/>
      <c r="AA109" s="1650"/>
      <c r="AB109" s="1650"/>
      <c r="AC109" s="1650"/>
      <c r="AD109" s="1650"/>
      <c r="AE109" s="1650"/>
      <c r="AF109" s="1650"/>
      <c r="AG109" s="1650"/>
      <c r="AH109" s="1650"/>
      <c r="AI109" s="1650"/>
      <c r="AJ109" s="1650"/>
      <c r="AK109" s="1650"/>
      <c r="AL109" s="1650"/>
      <c r="AM109" s="1650"/>
      <c r="AO109" s="1169"/>
      <c r="AP109" s="1645"/>
      <c r="AQ109" s="1645"/>
      <c r="AR109" s="1169"/>
      <c r="AS109" s="1169"/>
      <c r="AT109" s="1169"/>
      <c r="AU109" s="1169"/>
      <c r="AV109" s="1645"/>
      <c r="AW109" s="1169"/>
      <c r="AX109" s="1169"/>
      <c r="AY109" s="553"/>
      <c r="AZ109" s="1169"/>
      <c r="BA109" s="1169"/>
      <c r="BB109" s="1169"/>
      <c r="BC109" s="1169"/>
      <c r="BD109" s="1169"/>
      <c r="BE109" s="1641"/>
      <c r="BF109" s="575"/>
      <c r="BG109" s="575"/>
      <c r="BH109" s="575"/>
      <c r="BI109" s="575"/>
      <c r="BJ109" s="1650">
        <v>11</v>
      </c>
    </row>
    <row s="1650" customFormat="1" customHeight="1" ht="11.549999999999999">
      <c r="A110" s="996"/>
      <c r="B110" s="1645"/>
      <c r="C110" s="1645"/>
      <c r="D110" s="360"/>
      <c r="J110" s="1650"/>
      <c r="K110" s="1650"/>
      <c r="L110" s="1650"/>
      <c r="M110" s="1650"/>
      <c r="N110" s="1650"/>
      <c r="O110" s="1650"/>
      <c r="P110" s="1650"/>
      <c r="Q110" s="1650"/>
      <c r="R110" s="1650"/>
      <c r="S110" s="1650"/>
      <c r="T110" s="1650"/>
      <c r="U110" s="1650"/>
      <c r="V110" s="1650"/>
      <c r="W110" s="1650"/>
      <c r="X110" s="1650"/>
      <c r="Y110" s="1650"/>
      <c r="Z110" s="1650"/>
      <c r="AA110" s="1650"/>
      <c r="AB110" s="1650"/>
      <c r="AC110" s="1650"/>
      <c r="AD110" s="1650"/>
      <c r="AE110" s="1650"/>
      <c r="AF110" s="1650"/>
      <c r="AG110" s="1650"/>
      <c r="AH110" s="1650"/>
      <c r="AI110" s="1650"/>
      <c r="AJ110" s="1650"/>
      <c r="AK110" s="1650"/>
      <c r="AL110" s="1650"/>
      <c r="AM110" s="1650"/>
      <c r="AO110" s="1169"/>
      <c r="AP110" s="1645"/>
      <c r="AQ110" s="1645"/>
      <c r="AR110" s="1169"/>
      <c r="AS110" s="1169"/>
      <c r="AT110" s="1169"/>
      <c r="AU110" s="1169"/>
      <c r="AV110" s="1645"/>
      <c r="AW110" s="1169"/>
      <c r="AX110" s="1169"/>
      <c r="AY110" s="553"/>
      <c r="AZ110" s="1169"/>
      <c r="BA110" s="1169"/>
      <c r="BB110" s="1169"/>
      <c r="BC110" s="1169"/>
      <c r="BD110" s="1169"/>
      <c r="BE110" s="1641"/>
      <c r="BF110" s="575"/>
      <c r="BG110" s="575"/>
      <c r="BH110" s="575"/>
      <c r="BI110" s="575"/>
      <c r="BJ110" s="1650">
        <v>11</v>
      </c>
    </row>
    <row s="1650" customFormat="1" customHeight="1" ht="11.549999999999999">
      <c r="A111" s="996"/>
      <c r="B111" s="1645"/>
      <c r="C111" s="1645"/>
      <c r="D111" s="360"/>
      <c r="J111" s="1650"/>
      <c r="K111" s="1650"/>
      <c r="L111" s="1650"/>
      <c r="M111" s="1650"/>
      <c r="N111" s="1650"/>
      <c r="O111" s="1650"/>
      <c r="P111" s="1650"/>
      <c r="Q111" s="1650"/>
      <c r="R111" s="1650"/>
      <c r="S111" s="1650"/>
      <c r="T111" s="1650"/>
      <c r="U111" s="1650"/>
      <c r="V111" s="1650"/>
      <c r="W111" s="1650"/>
      <c r="X111" s="1650"/>
      <c r="Y111" s="1650"/>
      <c r="Z111" s="1650"/>
      <c r="AA111" s="1650"/>
      <c r="AB111" s="1650"/>
      <c r="AC111" s="1650"/>
      <c r="AD111" s="1650"/>
      <c r="AE111" s="1650"/>
      <c r="AF111" s="1650"/>
      <c r="AG111" s="1650"/>
      <c r="AH111" s="1650"/>
      <c r="AI111" s="1650"/>
      <c r="AJ111" s="1650"/>
      <c r="AK111" s="1650"/>
      <c r="AL111" s="1650"/>
      <c r="AM111" s="1650"/>
      <c r="AO111" s="1169"/>
      <c r="AP111" s="1645"/>
      <c r="AQ111" s="1645"/>
      <c r="AR111" s="1169"/>
      <c r="AS111" s="1169"/>
      <c r="AT111" s="1169"/>
      <c r="AU111" s="1169"/>
      <c r="AV111" s="1645"/>
      <c r="AW111" s="1169"/>
      <c r="AX111" s="1169"/>
      <c r="AY111" s="553"/>
      <c r="AZ111" s="1169"/>
      <c r="BA111" s="1169"/>
      <c r="BB111" s="1169"/>
      <c r="BC111" s="1169"/>
      <c r="BD111" s="1169"/>
      <c r="BE111" s="1641"/>
      <c r="BF111" s="575"/>
      <c r="BG111" s="575"/>
      <c r="BH111" s="575"/>
      <c r="BI111" s="575"/>
      <c r="BJ111" s="1650">
        <v>11</v>
      </c>
    </row>
    <row s="1650" customFormat="1" customHeight="1" ht="11.549999999999999">
      <c r="A112" s="996"/>
      <c r="B112" s="1645"/>
      <c r="C112" s="1645"/>
      <c r="D112" s="360"/>
      <c r="J112" s="1650"/>
      <c r="K112" s="1650"/>
      <c r="L112" s="1650"/>
      <c r="M112" s="1650"/>
      <c r="N112" s="1650"/>
      <c r="O112" s="1650"/>
      <c r="P112" s="1650"/>
      <c r="Q112" s="1650"/>
      <c r="R112" s="1650"/>
      <c r="S112" s="1650"/>
      <c r="T112" s="1650"/>
      <c r="U112" s="1650"/>
      <c r="V112" s="1650"/>
      <c r="W112" s="1650"/>
      <c r="X112" s="1650"/>
      <c r="Y112" s="1650"/>
      <c r="Z112" s="1650"/>
      <c r="AA112" s="1650"/>
      <c r="AB112" s="1650"/>
      <c r="AC112" s="1650"/>
      <c r="AD112" s="1650"/>
      <c r="AE112" s="1650"/>
      <c r="AF112" s="1650"/>
      <c r="AG112" s="1650"/>
      <c r="AH112" s="1650"/>
      <c r="AI112" s="1650"/>
      <c r="AJ112" s="1650"/>
      <c r="AK112" s="1650"/>
      <c r="AL112" s="1650"/>
      <c r="AM112" s="1650"/>
      <c r="AO112" s="1169"/>
      <c r="AP112" s="1645"/>
      <c r="AQ112" s="1645"/>
      <c r="AR112" s="1169"/>
      <c r="AS112" s="1169"/>
      <c r="AT112" s="1169"/>
      <c r="AU112" s="1169"/>
      <c r="AV112" s="1645"/>
      <c r="AW112" s="1169"/>
      <c r="AX112" s="1169"/>
      <c r="AY112" s="553"/>
      <c r="AZ112" s="1169"/>
      <c r="BA112" s="1169"/>
      <c r="BB112" s="1169"/>
      <c r="BC112" s="1169"/>
      <c r="BD112" s="1169"/>
      <c r="BE112" s="1641"/>
      <c r="BF112" s="575"/>
      <c r="BG112" s="575"/>
      <c r="BH112" s="575"/>
      <c r="BI112" s="575"/>
      <c r="BJ112" s="1650">
        <v>11</v>
      </c>
    </row>
    <row s="1650" customFormat="1" customHeight="1" ht="11.549999999999999">
      <c r="A113" s="996"/>
      <c r="B113" s="1645"/>
      <c r="C113" s="1645"/>
      <c r="D113" s="360"/>
      <c r="J113" s="1650"/>
      <c r="K113" s="1650"/>
      <c r="L113" s="1650"/>
      <c r="M113" s="1650"/>
      <c r="N113" s="1650"/>
      <c r="O113" s="1650"/>
      <c r="P113" s="1650"/>
      <c r="Q113" s="1650"/>
      <c r="R113" s="1650"/>
      <c r="S113" s="1650"/>
      <c r="T113" s="1650"/>
      <c r="U113" s="1650"/>
      <c r="V113" s="1650"/>
      <c r="W113" s="1650"/>
      <c r="X113" s="1650"/>
      <c r="Y113" s="1650"/>
      <c r="Z113" s="1650"/>
      <c r="AA113" s="1650"/>
      <c r="AB113" s="1650"/>
      <c r="AC113" s="1650"/>
      <c r="AD113" s="1650"/>
      <c r="AE113" s="1650"/>
      <c r="AF113" s="1650"/>
      <c r="AG113" s="1650"/>
      <c r="AH113" s="1650"/>
      <c r="AI113" s="1650"/>
      <c r="AJ113" s="1650"/>
      <c r="AK113" s="1650"/>
      <c r="AL113" s="1650"/>
      <c r="AM113" s="1650"/>
      <c r="AO113" s="1169"/>
      <c r="AP113" s="1645"/>
      <c r="AQ113" s="1645"/>
      <c r="AR113" s="1169"/>
      <c r="AS113" s="1169"/>
      <c r="AT113" s="1169"/>
      <c r="AU113" s="1169"/>
      <c r="AV113" s="1645"/>
      <c r="AW113" s="1169"/>
      <c r="AX113" s="1169"/>
      <c r="AY113" s="553"/>
      <c r="AZ113" s="1169"/>
      <c r="BA113" s="1169"/>
      <c r="BB113" s="1169"/>
      <c r="BC113" s="1169"/>
      <c r="BD113" s="1169"/>
      <c r="BE113" s="1641"/>
      <c r="BF113" s="575"/>
      <c r="BG113" s="575"/>
      <c r="BH113" s="575"/>
      <c r="BI113" s="575"/>
      <c r="BJ113" s="1650">
        <v>11</v>
      </c>
    </row>
    <row s="1650" customFormat="1" customHeight="1" ht="11.549999999999999">
      <c r="A114" s="996"/>
      <c r="B114" s="1645"/>
      <c r="C114" s="1645"/>
      <c r="D114" s="360"/>
      <c r="J114" s="1650"/>
      <c r="K114" s="1650"/>
      <c r="L114" s="1650"/>
      <c r="M114" s="1650"/>
      <c r="N114" s="1650"/>
      <c r="O114" s="1650"/>
      <c r="P114" s="1650"/>
      <c r="Q114" s="1650"/>
      <c r="R114" s="1650"/>
      <c r="S114" s="1650"/>
      <c r="T114" s="1650"/>
      <c r="U114" s="1650"/>
      <c r="V114" s="1650"/>
      <c r="W114" s="1650"/>
      <c r="X114" s="1650"/>
      <c r="Y114" s="1650"/>
      <c r="Z114" s="1650"/>
      <c r="AA114" s="1650"/>
      <c r="AB114" s="1650"/>
      <c r="AC114" s="1650"/>
      <c r="AD114" s="1650"/>
      <c r="AE114" s="1650"/>
      <c r="AF114" s="1650"/>
      <c r="AG114" s="1650"/>
      <c r="AH114" s="1650"/>
      <c r="AI114" s="1650"/>
      <c r="AJ114" s="1650"/>
      <c r="AK114" s="1650"/>
      <c r="AL114" s="1650"/>
      <c r="AM114" s="1650"/>
      <c r="AO114" s="1169"/>
      <c r="AP114" s="1645"/>
      <c r="AQ114" s="1645"/>
      <c r="AR114" s="1169"/>
      <c r="AS114" s="1169"/>
      <c r="AT114" s="1169"/>
      <c r="AU114" s="1169"/>
      <c r="AV114" s="1645"/>
      <c r="AW114" s="1169"/>
      <c r="AX114" s="1169"/>
      <c r="AY114" s="553"/>
      <c r="AZ114" s="1169"/>
      <c r="BA114" s="1169"/>
      <c r="BB114" s="1169"/>
      <c r="BC114" s="1169"/>
      <c r="BD114" s="1169"/>
      <c r="BE114" s="1641"/>
      <c r="BF114" s="575"/>
      <c r="BG114" s="575"/>
      <c r="BH114" s="575"/>
      <c r="BI114" s="575"/>
      <c r="BJ114" s="1650">
        <v>11</v>
      </c>
    </row>
    <row s="1650" customFormat="1" customHeight="1" ht="11.549999999999999">
      <c r="A115" s="996"/>
      <c r="B115" s="1645"/>
      <c r="C115" s="1645"/>
      <c r="D115" s="360"/>
      <c r="J115" s="1650"/>
      <c r="K115" s="1650"/>
      <c r="L115" s="1650"/>
      <c r="M115" s="1650"/>
      <c r="N115" s="1650"/>
      <c r="O115" s="1650"/>
      <c r="P115" s="1650"/>
      <c r="Q115" s="1650"/>
      <c r="R115" s="1650"/>
      <c r="S115" s="1650"/>
      <c r="T115" s="1650"/>
      <c r="U115" s="1650"/>
      <c r="V115" s="1650"/>
      <c r="W115" s="1650"/>
      <c r="X115" s="1650"/>
      <c r="Y115" s="1650"/>
      <c r="Z115" s="1650"/>
      <c r="AA115" s="1650"/>
      <c r="AB115" s="1650"/>
      <c r="AC115" s="1650"/>
      <c r="AD115" s="1650"/>
      <c r="AE115" s="1650"/>
      <c r="AF115" s="1650"/>
      <c r="AG115" s="1650"/>
      <c r="AH115" s="1650"/>
      <c r="AI115" s="1650"/>
      <c r="AJ115" s="1650"/>
      <c r="AK115" s="1650"/>
      <c r="AL115" s="1650"/>
      <c r="AM115" s="1650"/>
      <c r="AO115" s="1169"/>
      <c r="AP115" s="1645"/>
      <c r="AQ115" s="1645"/>
      <c r="AR115" s="1169"/>
      <c r="AS115" s="1169"/>
      <c r="AT115" s="1169"/>
      <c r="AU115" s="1169"/>
      <c r="AV115" s="1645"/>
      <c r="AW115" s="1169"/>
      <c r="AX115" s="1169"/>
      <c r="AY115" s="553"/>
      <c r="AZ115" s="1169"/>
      <c r="BA115" s="1169"/>
      <c r="BB115" s="1169"/>
      <c r="BC115" s="1169"/>
      <c r="BD115" s="1169"/>
      <c r="BE115" s="1641"/>
      <c r="BF115" s="575"/>
      <c r="BG115" s="575"/>
      <c r="BH115" s="575"/>
      <c r="BI115" s="575"/>
      <c r="BJ115" s="1650">
        <v>11</v>
      </c>
    </row>
    <row s="1650" customFormat="1" customHeight="1" ht="11.549999999999999">
      <c r="A116" s="996"/>
      <c r="B116" s="1645"/>
      <c r="C116" s="1645"/>
      <c r="D116" s="36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I116" s="1650"/>
      <c r="AJ116" s="1650"/>
      <c r="AK116" s="1650"/>
      <c r="AL116" s="1650"/>
      <c r="AM116" s="1650"/>
      <c r="AO116" s="1169"/>
      <c r="AP116" s="1645"/>
      <c r="AQ116" s="1645"/>
      <c r="AR116" s="1169"/>
      <c r="AS116" s="1169"/>
      <c r="AT116" s="1169"/>
      <c r="AU116" s="1169"/>
      <c r="AV116" s="1645"/>
      <c r="AW116" s="1169"/>
      <c r="AX116" s="1169"/>
      <c r="AY116" s="553"/>
      <c r="AZ116" s="1169"/>
      <c r="BA116" s="1169"/>
      <c r="BB116" s="1169"/>
      <c r="BC116" s="1169"/>
      <c r="BD116" s="1169"/>
      <c r="BE116" s="1641"/>
      <c r="BF116" s="575"/>
      <c r="BG116" s="575"/>
      <c r="BH116" s="575"/>
      <c r="BI116" s="575"/>
      <c r="BJ116" s="1650">
        <v>11</v>
      </c>
    </row>
    <row s="1650" customFormat="1" customHeight="1" ht="11.549999999999999">
      <c r="A117" s="996"/>
      <c r="B117" s="1645"/>
      <c r="C117" s="1645"/>
      <c r="D117" s="36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I117" s="1650"/>
      <c r="AJ117" s="1650"/>
      <c r="AK117" s="1650"/>
      <c r="AL117" s="1650"/>
      <c r="AM117" s="1650"/>
      <c r="AO117" s="1169"/>
      <c r="AP117" s="1645"/>
      <c r="AQ117" s="1645"/>
      <c r="AR117" s="1169"/>
      <c r="AS117" s="1169"/>
      <c r="AT117" s="1169"/>
      <c r="AU117" s="1169"/>
      <c r="AV117" s="1645"/>
      <c r="AW117" s="1169"/>
      <c r="AX117" s="1169"/>
      <c r="AY117" s="553"/>
      <c r="AZ117" s="1169"/>
      <c r="BA117" s="1169"/>
      <c r="BB117" s="1169"/>
      <c r="BC117" s="1169"/>
      <c r="BD117" s="1169"/>
      <c r="BE117" s="1641"/>
      <c r="BF117" s="575"/>
      <c r="BG117" s="575"/>
      <c r="BH117" s="575"/>
      <c r="BI117" s="575"/>
      <c r="BJ117" s="1650">
        <v>11</v>
      </c>
    </row>
    <row s="1650" customFormat="1" customHeight="1" ht="11.549999999999999">
      <c r="A118" s="996"/>
      <c r="B118" s="1645"/>
      <c r="C118" s="1645"/>
      <c r="D118" s="360"/>
      <c r="J118" s="1650"/>
      <c r="K118" s="1650"/>
      <c r="L118" s="1650"/>
      <c r="M118" s="1650"/>
      <c r="N118" s="1650"/>
      <c r="O118" s="1650"/>
      <c r="P118" s="1650"/>
      <c r="Q118" s="1650"/>
      <c r="R118" s="1650"/>
      <c r="S118" s="1650"/>
      <c r="T118" s="1650"/>
      <c r="U118" s="1650"/>
      <c r="V118" s="1650"/>
      <c r="W118" s="1650"/>
      <c r="X118" s="1650"/>
      <c r="Y118" s="1650"/>
      <c r="Z118" s="1650"/>
      <c r="AA118" s="1650"/>
      <c r="AB118" s="1650"/>
      <c r="AC118" s="1650"/>
      <c r="AD118" s="1650"/>
      <c r="AE118" s="1650"/>
      <c r="AF118" s="1650"/>
      <c r="AG118" s="1650"/>
      <c r="AH118" s="1650"/>
      <c r="AI118" s="1650"/>
      <c r="AJ118" s="1650"/>
      <c r="AK118" s="1650"/>
      <c r="AL118" s="1650"/>
      <c r="AM118" s="1650"/>
      <c r="AO118" s="1169"/>
      <c r="AP118" s="1645"/>
      <c r="AQ118" s="1645"/>
      <c r="AR118" s="1169"/>
      <c r="AS118" s="1169"/>
      <c r="AT118" s="1169"/>
      <c r="AU118" s="1169"/>
      <c r="AV118" s="1645"/>
      <c r="AW118" s="1169"/>
      <c r="AX118" s="1169"/>
      <c r="AY118" s="553"/>
      <c r="AZ118" s="1169"/>
      <c r="BA118" s="1169"/>
      <c r="BB118" s="1169"/>
      <c r="BC118" s="1169"/>
      <c r="BD118" s="1169"/>
      <c r="BE118" s="1641"/>
      <c r="BF118" s="575"/>
      <c r="BG118" s="575"/>
      <c r="BH118" s="575"/>
      <c r="BI118" s="575"/>
      <c r="BJ118" s="1650">
        <v>11</v>
      </c>
    </row>
    <row s="1650" customFormat="1" customHeight="1" ht="11.549999999999999">
      <c r="A119" s="996"/>
      <c r="B119" s="1645"/>
      <c r="C119" s="1645"/>
      <c r="D119" s="360"/>
      <c r="J119" s="1650"/>
      <c r="K119" s="1650"/>
      <c r="L119" s="1650"/>
      <c r="M119" s="1650"/>
      <c r="N119" s="1650"/>
      <c r="O119" s="1650"/>
      <c r="P119" s="1650"/>
      <c r="Q119" s="1650"/>
      <c r="R119" s="1650"/>
      <c r="S119" s="1650"/>
      <c r="T119" s="1650"/>
      <c r="U119" s="1650"/>
      <c r="V119" s="1650"/>
      <c r="W119" s="1650"/>
      <c r="X119" s="1650"/>
      <c r="Y119" s="1650"/>
      <c r="Z119" s="1650"/>
      <c r="AA119" s="1650"/>
      <c r="AB119" s="1650"/>
      <c r="AC119" s="1650"/>
      <c r="AD119" s="1650"/>
      <c r="AE119" s="1650"/>
      <c r="AF119" s="1650"/>
      <c r="AG119" s="1650"/>
      <c r="AH119" s="1650"/>
      <c r="AI119" s="1650"/>
      <c r="AJ119" s="1650"/>
      <c r="AK119" s="1650"/>
      <c r="AL119" s="1650"/>
      <c r="AM119" s="1650"/>
      <c r="AO119" s="1169"/>
      <c r="AP119" s="1645"/>
      <c r="AQ119" s="1645"/>
      <c r="AR119" s="1169"/>
      <c r="AS119" s="1169"/>
      <c r="AT119" s="1169"/>
      <c r="AU119" s="1169"/>
      <c r="AV119" s="1645"/>
      <c r="AW119" s="1169"/>
      <c r="AX119" s="1169"/>
      <c r="AY119" s="553"/>
      <c r="AZ119" s="1169"/>
      <c r="BA119" s="1169"/>
      <c r="BB119" s="1169"/>
      <c r="BC119" s="1169"/>
      <c r="BD119" s="1169"/>
      <c r="BE119" s="1641"/>
      <c r="BF119" s="575"/>
      <c r="BG119" s="575"/>
      <c r="BH119" s="575"/>
      <c r="BI119" s="575"/>
      <c r="BJ119" s="1650">
        <v>11</v>
      </c>
    </row>
    <row s="1650" customFormat="1" customHeight="1" ht="11.549999999999999">
      <c r="A120" s="996"/>
      <c r="B120" s="1645"/>
      <c r="C120" s="1645"/>
      <c r="D120" s="36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1650"/>
      <c r="AI120" s="1650"/>
      <c r="AJ120" s="1650"/>
      <c r="AK120" s="1650"/>
      <c r="AL120" s="1650"/>
      <c r="AM120" s="1650"/>
      <c r="AO120" s="1169"/>
      <c r="AP120" s="1645"/>
      <c r="AQ120" s="1645"/>
      <c r="AR120" s="1169"/>
      <c r="AS120" s="1169"/>
      <c r="AT120" s="1169"/>
      <c r="AU120" s="1169"/>
      <c r="AV120" s="1645"/>
      <c r="AW120" s="1169"/>
      <c r="AX120" s="1169"/>
      <c r="AY120" s="553"/>
      <c r="AZ120" s="1169"/>
      <c r="BA120" s="1169"/>
      <c r="BB120" s="1169"/>
      <c r="BC120" s="1169"/>
      <c r="BD120" s="1169"/>
      <c r="BE120" s="1641"/>
      <c r="BF120" s="575"/>
      <c r="BG120" s="575"/>
      <c r="BH120" s="575"/>
      <c r="BI120" s="575"/>
      <c r="BJ120" s="1650">
        <v>11</v>
      </c>
    </row>
    <row s="1650" customFormat="1" customHeight="1" ht="11.549999999999999">
      <c r="A121" s="996"/>
      <c r="B121" s="1645"/>
      <c r="C121" s="1645"/>
      <c r="D121" s="36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1650"/>
      <c r="AI121" s="1650"/>
      <c r="AJ121" s="1650"/>
      <c r="AK121" s="1650"/>
      <c r="AL121" s="1650"/>
      <c r="AM121" s="1650"/>
      <c r="AO121" s="1169"/>
      <c r="AP121" s="1645"/>
      <c r="AQ121" s="1645"/>
      <c r="AR121" s="1169"/>
      <c r="AS121" s="1169"/>
      <c r="AT121" s="1169"/>
      <c r="AU121" s="1169"/>
      <c r="AV121" s="1645"/>
      <c r="AW121" s="1169"/>
      <c r="AX121" s="1169"/>
      <c r="AY121" s="553"/>
      <c r="AZ121" s="1169"/>
      <c r="BA121" s="1169"/>
      <c r="BB121" s="1169"/>
      <c r="BC121" s="1169"/>
      <c r="BD121" s="1169"/>
      <c r="BE121" s="1641"/>
      <c r="BF121" s="575"/>
      <c r="BG121" s="575"/>
      <c r="BH121" s="575"/>
      <c r="BI121" s="575"/>
      <c r="BJ121" s="1650">
        <v>11</v>
      </c>
    </row>
    <row s="1650" customFormat="1" customHeight="1" ht="11.549999999999999">
      <c r="A122" s="996"/>
      <c r="B122" s="1645"/>
      <c r="C122" s="1645"/>
      <c r="D122" s="36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1650"/>
      <c r="AI122" s="1650"/>
      <c r="AJ122" s="1650"/>
      <c r="AK122" s="1650"/>
      <c r="AL122" s="1650"/>
      <c r="AM122" s="1650"/>
      <c r="AO122" s="1169"/>
      <c r="AP122" s="1645"/>
      <c r="AQ122" s="1645"/>
      <c r="AR122" s="1169"/>
      <c r="AS122" s="1169"/>
      <c r="AT122" s="1169"/>
      <c r="AU122" s="1169"/>
      <c r="AV122" s="1645"/>
      <c r="AW122" s="1169"/>
      <c r="AX122" s="1169"/>
      <c r="AY122" s="553"/>
      <c r="AZ122" s="1169"/>
      <c r="BA122" s="1169"/>
      <c r="BB122" s="1169"/>
      <c r="BC122" s="1169"/>
      <c r="BD122" s="1169"/>
      <c r="BE122" s="1641"/>
      <c r="BF122" s="575"/>
      <c r="BG122" s="575"/>
      <c r="BH122" s="575"/>
      <c r="BI122" s="575"/>
      <c r="BJ122" s="1650">
        <v>11</v>
      </c>
    </row>
    <row s="1650" customFormat="1" customHeight="1" ht="11.549999999999999">
      <c r="A123" s="996"/>
      <c r="B123" s="1645"/>
      <c r="C123" s="1645"/>
      <c r="D123" s="360"/>
      <c r="J123" s="1650"/>
      <c r="K123" s="1650"/>
      <c r="L123" s="1650"/>
      <c r="M123" s="1650"/>
      <c r="N123" s="1650"/>
      <c r="O123" s="1650"/>
      <c r="P123" s="1650"/>
      <c r="Q123" s="1650"/>
      <c r="R123" s="1650"/>
      <c r="S123" s="1650"/>
      <c r="T123" s="1650"/>
      <c r="U123" s="1650"/>
      <c r="V123" s="1650"/>
      <c r="W123" s="1650"/>
      <c r="X123" s="1650"/>
      <c r="Y123" s="1650"/>
      <c r="Z123" s="1650"/>
      <c r="AA123" s="1650"/>
      <c r="AB123" s="1650"/>
      <c r="AC123" s="1650"/>
      <c r="AD123" s="1650"/>
      <c r="AE123" s="1650"/>
      <c r="AF123" s="1650"/>
      <c r="AG123" s="1650"/>
      <c r="AH123" s="1650"/>
      <c r="AI123" s="1650"/>
      <c r="AJ123" s="1650"/>
      <c r="AK123" s="1650"/>
      <c r="AL123" s="1650"/>
      <c r="AM123" s="1650"/>
      <c r="AO123" s="1169"/>
      <c r="AP123" s="1645"/>
      <c r="AQ123" s="1645"/>
      <c r="AR123" s="1169"/>
      <c r="AS123" s="1169"/>
      <c r="AT123" s="1169"/>
      <c r="AU123" s="1169"/>
      <c r="AV123" s="1645"/>
      <c r="AW123" s="1169"/>
      <c r="AX123" s="1169"/>
      <c r="AY123" s="553"/>
      <c r="AZ123" s="1169"/>
      <c r="BA123" s="1169"/>
      <c r="BB123" s="1169"/>
      <c r="BC123" s="1169"/>
      <c r="BD123" s="1169"/>
      <c r="BE123" s="1641"/>
      <c r="BF123" s="575"/>
      <c r="BG123" s="575"/>
      <c r="BH123" s="575"/>
      <c r="BI123" s="575"/>
      <c r="BJ123" s="1650">
        <v>11</v>
      </c>
    </row>
    <row s="1650" customFormat="1" customHeight="1" ht="11.549999999999999">
      <c r="A124" s="996"/>
      <c r="B124" s="1645"/>
      <c r="C124" s="1645"/>
      <c r="D124" s="360"/>
      <c r="J124" s="1650"/>
      <c r="K124" s="1650"/>
      <c r="L124" s="1650"/>
      <c r="M124" s="1650"/>
      <c r="N124" s="1650"/>
      <c r="O124" s="1650"/>
      <c r="P124" s="1650"/>
      <c r="Q124" s="1650"/>
      <c r="R124" s="1650"/>
      <c r="S124" s="1650"/>
      <c r="T124" s="1650"/>
      <c r="U124" s="1650"/>
      <c r="V124" s="1650"/>
      <c r="W124" s="1650"/>
      <c r="X124" s="1650"/>
      <c r="Y124" s="1650"/>
      <c r="Z124" s="1650"/>
      <c r="AA124" s="1650"/>
      <c r="AB124" s="1650"/>
      <c r="AC124" s="1650"/>
      <c r="AD124" s="1650"/>
      <c r="AE124" s="1650"/>
      <c r="AF124" s="1650"/>
      <c r="AG124" s="1650"/>
      <c r="AH124" s="1650"/>
      <c r="AI124" s="1650"/>
      <c r="AJ124" s="1650"/>
      <c r="AK124" s="1650"/>
      <c r="AL124" s="1650"/>
      <c r="AM124" s="1650"/>
      <c r="AO124" s="1169"/>
      <c r="AP124" s="1645"/>
      <c r="AQ124" s="1645"/>
      <c r="AR124" s="1169"/>
      <c r="AS124" s="1169"/>
      <c r="AT124" s="1169"/>
      <c r="AU124" s="1169"/>
      <c r="AV124" s="1645"/>
      <c r="AW124" s="1169"/>
      <c r="AX124" s="1169"/>
      <c r="AY124" s="553"/>
      <c r="AZ124" s="1169"/>
      <c r="BA124" s="1169"/>
      <c r="BB124" s="1169"/>
      <c r="BC124" s="1169"/>
      <c r="BD124" s="1169"/>
      <c r="BE124" s="1641"/>
      <c r="BF124" s="575"/>
      <c r="BG124" s="575"/>
      <c r="BH124" s="575"/>
      <c r="BI124" s="575"/>
      <c r="BJ124" s="1650">
        <v>11</v>
      </c>
    </row>
    <row s="1650" customFormat="1" customHeight="1" ht="11.549999999999999">
      <c r="A125" s="996"/>
      <c r="B125" s="1645"/>
      <c r="C125" s="1645"/>
      <c r="D125" s="360"/>
      <c r="J125" s="1650"/>
      <c r="K125" s="1650"/>
      <c r="L125" s="1650"/>
      <c r="M125" s="1650"/>
      <c r="N125" s="1650"/>
      <c r="O125" s="1650"/>
      <c r="P125" s="1650"/>
      <c r="Q125" s="1650"/>
      <c r="R125" s="1650"/>
      <c r="S125" s="1650"/>
      <c r="T125" s="1650"/>
      <c r="U125" s="1650"/>
      <c r="V125" s="1650"/>
      <c r="W125" s="1650"/>
      <c r="X125" s="1650"/>
      <c r="Y125" s="1650"/>
      <c r="Z125" s="1650"/>
      <c r="AA125" s="1650"/>
      <c r="AB125" s="1650"/>
      <c r="AC125" s="1650"/>
      <c r="AD125" s="1650"/>
      <c r="AE125" s="1650"/>
      <c r="AF125" s="1650"/>
      <c r="AG125" s="1650"/>
      <c r="AH125" s="1650"/>
      <c r="AI125" s="1650"/>
      <c r="AJ125" s="1650"/>
      <c r="AK125" s="1650"/>
      <c r="AL125" s="1650"/>
      <c r="AM125" s="1650"/>
      <c r="AO125" s="1169"/>
      <c r="AP125" s="1645"/>
      <c r="AQ125" s="1645"/>
      <c r="AR125" s="1169"/>
      <c r="AS125" s="1169"/>
      <c r="AT125" s="1169"/>
      <c r="AU125" s="1169"/>
      <c r="AV125" s="1645"/>
      <c r="AW125" s="1169"/>
      <c r="AX125" s="1169"/>
      <c r="AY125" s="553"/>
      <c r="AZ125" s="1169"/>
      <c r="BA125" s="1169"/>
      <c r="BB125" s="1169"/>
      <c r="BC125" s="1169"/>
      <c r="BD125" s="1169"/>
      <c r="BE125" s="1641"/>
      <c r="BF125" s="575"/>
      <c r="BG125" s="575"/>
      <c r="BH125" s="575"/>
      <c r="BI125" s="575"/>
      <c r="BJ125" s="1650">
        <v>11</v>
      </c>
    </row>
    <row s="1650" customFormat="1" customHeight="1" ht="11.549999999999999">
      <c r="A126" s="996"/>
      <c r="B126" s="1645"/>
      <c r="C126" s="1645"/>
      <c r="D126" s="360"/>
      <c r="J126" s="1650"/>
      <c r="K126" s="1650"/>
      <c r="L126" s="1650"/>
      <c r="M126" s="1650"/>
      <c r="N126" s="1650"/>
      <c r="O126" s="1650"/>
      <c r="P126" s="1650"/>
      <c r="Q126" s="1650"/>
      <c r="R126" s="1650"/>
      <c r="S126" s="1650"/>
      <c r="T126" s="1650"/>
      <c r="U126" s="1650"/>
      <c r="V126" s="1650"/>
      <c r="W126" s="1650"/>
      <c r="X126" s="1650"/>
      <c r="Y126" s="1650"/>
      <c r="Z126" s="1650"/>
      <c r="AA126" s="1650"/>
      <c r="AB126" s="1650"/>
      <c r="AC126" s="1650"/>
      <c r="AD126" s="1650"/>
      <c r="AE126" s="1650"/>
      <c r="AF126" s="1650"/>
      <c r="AG126" s="1650"/>
      <c r="AH126" s="1650"/>
      <c r="AI126" s="1650"/>
      <c r="AJ126" s="1650"/>
      <c r="AK126" s="1650"/>
      <c r="AL126" s="1650"/>
      <c r="AM126" s="1650"/>
      <c r="AO126" s="1169"/>
      <c r="AP126" s="1645"/>
      <c r="AQ126" s="1645"/>
      <c r="AR126" s="1169"/>
      <c r="AS126" s="1169"/>
      <c r="AT126" s="1169"/>
      <c r="AU126" s="1169"/>
      <c r="AV126" s="1645"/>
      <c r="AW126" s="1169"/>
      <c r="AX126" s="1169"/>
      <c r="AY126" s="553"/>
      <c r="AZ126" s="1169"/>
      <c r="BA126" s="1169"/>
      <c r="BB126" s="1169"/>
      <c r="BC126" s="1169"/>
      <c r="BD126" s="1169"/>
      <c r="BE126" s="1641"/>
      <c r="BF126" s="575"/>
      <c r="BG126" s="575"/>
      <c r="BH126" s="575"/>
      <c r="BI126" s="575"/>
      <c r="BJ126" s="1650">
        <v>11</v>
      </c>
    </row>
    <row s="1650" customFormat="1" customHeight="1" ht="11.549999999999999">
      <c r="A127" s="996"/>
      <c r="B127" s="1645"/>
      <c r="C127" s="1645"/>
      <c r="D127" s="360"/>
      <c r="J127" s="1650"/>
      <c r="K127" s="1650"/>
      <c r="L127" s="1650"/>
      <c r="M127" s="1650"/>
      <c r="N127" s="1650"/>
      <c r="O127" s="1650"/>
      <c r="P127" s="1650"/>
      <c r="Q127" s="1650"/>
      <c r="R127" s="1650"/>
      <c r="S127" s="1650"/>
      <c r="T127" s="1650"/>
      <c r="U127" s="1650"/>
      <c r="V127" s="1650"/>
      <c r="W127" s="1650"/>
      <c r="X127" s="1650"/>
      <c r="Y127" s="1650"/>
      <c r="Z127" s="1650"/>
      <c r="AA127" s="1650"/>
      <c r="AB127" s="1650"/>
      <c r="AC127" s="1650"/>
      <c r="AD127" s="1650"/>
      <c r="AE127" s="1650"/>
      <c r="AF127" s="1650"/>
      <c r="AG127" s="1650"/>
      <c r="AH127" s="1650"/>
      <c r="AI127" s="1650"/>
      <c r="AJ127" s="1650"/>
      <c r="AK127" s="1650"/>
      <c r="AL127" s="1650"/>
      <c r="AM127" s="1650"/>
      <c r="AO127" s="1169"/>
      <c r="AP127" s="1645"/>
      <c r="AQ127" s="1645"/>
      <c r="AR127" s="1169"/>
      <c r="AS127" s="1169"/>
      <c r="AT127" s="1169"/>
      <c r="AU127" s="1169"/>
      <c r="AV127" s="1645"/>
      <c r="AW127" s="1169"/>
      <c r="AX127" s="1169"/>
      <c r="AY127" s="553"/>
      <c r="AZ127" s="1169"/>
      <c r="BA127" s="1169"/>
      <c r="BB127" s="1169"/>
      <c r="BC127" s="1169"/>
      <c r="BD127" s="1169"/>
      <c r="BE127" s="1641"/>
      <c r="BF127" s="575"/>
      <c r="BG127" s="575"/>
      <c r="BH127" s="575"/>
      <c r="BI127" s="575"/>
      <c r="BJ127" s="1650">
        <v>11</v>
      </c>
    </row>
    <row s="1650" customFormat="1" customHeight="1" ht="11.549999999999999">
      <c r="A128" s="996"/>
      <c r="B128" s="1645"/>
      <c r="C128" s="1645"/>
      <c r="D128" s="360"/>
      <c r="J128" s="1650"/>
      <c r="K128" s="1650"/>
      <c r="L128" s="1650"/>
      <c r="M128" s="1650"/>
      <c r="N128" s="1650"/>
      <c r="O128" s="1650"/>
      <c r="P128" s="1650"/>
      <c r="Q128" s="1650"/>
      <c r="R128" s="1650"/>
      <c r="S128" s="1650"/>
      <c r="T128" s="1650"/>
      <c r="U128" s="1650"/>
      <c r="V128" s="1650"/>
      <c r="W128" s="1650"/>
      <c r="X128" s="1650"/>
      <c r="Y128" s="1650"/>
      <c r="Z128" s="1650"/>
      <c r="AA128" s="1650"/>
      <c r="AB128" s="1650"/>
      <c r="AC128" s="1650"/>
      <c r="AD128" s="1650"/>
      <c r="AE128" s="1650"/>
      <c r="AF128" s="1650"/>
      <c r="AG128" s="1650"/>
      <c r="AH128" s="1650"/>
      <c r="AI128" s="1650"/>
      <c r="AJ128" s="1650"/>
      <c r="AK128" s="1650"/>
      <c r="AL128" s="1650"/>
      <c r="AM128" s="1650"/>
      <c r="AO128" s="1169"/>
      <c r="AP128" s="1645"/>
      <c r="AQ128" s="1645"/>
      <c r="AR128" s="1169"/>
      <c r="AS128" s="1169"/>
      <c r="AT128" s="1169"/>
      <c r="AU128" s="1169"/>
      <c r="AV128" s="1645"/>
      <c r="AW128" s="1169"/>
      <c r="AX128" s="1169"/>
      <c r="AY128" s="553"/>
      <c r="AZ128" s="1169"/>
      <c r="BA128" s="1169"/>
      <c r="BB128" s="1169"/>
      <c r="BC128" s="1169"/>
      <c r="BD128" s="1169"/>
      <c r="BE128" s="1641"/>
      <c r="BF128" s="575"/>
      <c r="BG128" s="575"/>
      <c r="BH128" s="575"/>
      <c r="BI128" s="575"/>
      <c r="BJ128" s="1650">
        <v>11</v>
      </c>
    </row>
    <row s="1650" customFormat="1" customHeight="1" ht="11.549999999999999">
      <c r="A129" s="996"/>
      <c r="B129" s="1645"/>
      <c r="C129" s="1645"/>
      <c r="D129" s="360"/>
      <c r="J129" s="1650"/>
      <c r="K129" s="1650"/>
      <c r="L129" s="1650"/>
      <c r="M129" s="1650"/>
      <c r="N129" s="1650"/>
      <c r="O129" s="1650"/>
      <c r="P129" s="1650"/>
      <c r="Q129" s="1650"/>
      <c r="R129" s="1650"/>
      <c r="S129" s="1650"/>
      <c r="T129" s="1650"/>
      <c r="U129" s="1650"/>
      <c r="V129" s="1650"/>
      <c r="W129" s="1650"/>
      <c r="X129" s="1650"/>
      <c r="Y129" s="1650"/>
      <c r="Z129" s="1650"/>
      <c r="AA129" s="1650"/>
      <c r="AB129" s="1650"/>
      <c r="AC129" s="1650"/>
      <c r="AD129" s="1650"/>
      <c r="AE129" s="1650"/>
      <c r="AF129" s="1650"/>
      <c r="AG129" s="1650"/>
      <c r="AH129" s="1650"/>
      <c r="AI129" s="1650"/>
      <c r="AJ129" s="1650"/>
      <c r="AK129" s="1650"/>
      <c r="AL129" s="1650"/>
      <c r="AM129" s="1650"/>
      <c r="AO129" s="1169"/>
      <c r="AP129" s="1645"/>
      <c r="AQ129" s="1645"/>
      <c r="AR129" s="1169"/>
      <c r="AS129" s="1169"/>
      <c r="AT129" s="1169"/>
      <c r="AU129" s="1169"/>
      <c r="AV129" s="1645"/>
      <c r="AW129" s="1169"/>
      <c r="AX129" s="1169"/>
      <c r="AY129" s="553"/>
      <c r="AZ129" s="1169"/>
      <c r="BA129" s="1169"/>
      <c r="BB129" s="1169"/>
      <c r="BC129" s="1169"/>
      <c r="BD129" s="1169"/>
      <c r="BE129" s="1641"/>
      <c r="BF129" s="575"/>
      <c r="BG129" s="575"/>
      <c r="BH129" s="575"/>
      <c r="BI129" s="575"/>
      <c r="BJ129" s="1650">
        <v>11</v>
      </c>
    </row>
    <row s="1650" customFormat="1" customHeight="1" ht="11.549999999999999">
      <c r="A130" s="996"/>
      <c r="B130" s="1645"/>
      <c r="C130" s="1645"/>
      <c r="D130" s="360"/>
      <c r="J130" s="1650"/>
      <c r="K130" s="1650"/>
      <c r="L130" s="1650"/>
      <c r="M130" s="1650"/>
      <c r="N130" s="1650"/>
      <c r="O130" s="1650"/>
      <c r="P130" s="1650"/>
      <c r="Q130" s="1650"/>
      <c r="R130" s="1650"/>
      <c r="S130" s="1650"/>
      <c r="T130" s="1650"/>
      <c r="U130" s="1650"/>
      <c r="V130" s="1650"/>
      <c r="W130" s="1650"/>
      <c r="X130" s="1650"/>
      <c r="Y130" s="1650"/>
      <c r="Z130" s="1650"/>
      <c r="AA130" s="1650"/>
      <c r="AB130" s="1650"/>
      <c r="AC130" s="1650"/>
      <c r="AD130" s="1650"/>
      <c r="AE130" s="1650"/>
      <c r="AF130" s="1650"/>
      <c r="AG130" s="1650"/>
      <c r="AH130" s="1650"/>
      <c r="AI130" s="1650"/>
      <c r="AJ130" s="1650"/>
      <c r="AK130" s="1650"/>
      <c r="AL130" s="1650"/>
      <c r="AM130" s="1650"/>
      <c r="AO130" s="1169"/>
      <c r="AP130" s="1645"/>
      <c r="AQ130" s="1645"/>
      <c r="AR130" s="1169"/>
      <c r="AS130" s="1169"/>
      <c r="AT130" s="1169"/>
      <c r="AU130" s="1169"/>
      <c r="AV130" s="1645"/>
      <c r="AW130" s="1169"/>
      <c r="AX130" s="1169"/>
      <c r="AY130" s="553"/>
      <c r="AZ130" s="1169"/>
      <c r="BA130" s="1169"/>
      <c r="BB130" s="1169"/>
      <c r="BC130" s="1169"/>
      <c r="BD130" s="1169"/>
      <c r="BE130" s="1641"/>
      <c r="BF130" s="575"/>
      <c r="BG130" s="575"/>
      <c r="BH130" s="575"/>
      <c r="BI130" s="575"/>
      <c r="BJ130" s="1650">
        <v>11</v>
      </c>
    </row>
    <row s="1650" customFormat="1" customHeight="1" ht="11.549999999999999">
      <c r="A131" s="996"/>
      <c r="B131" s="1645"/>
      <c r="C131" s="1645"/>
      <c r="D131" s="360"/>
      <c r="J131" s="1650"/>
      <c r="K131" s="1650"/>
      <c r="L131" s="1650"/>
      <c r="M131" s="1650"/>
      <c r="N131" s="1650"/>
      <c r="O131" s="1650"/>
      <c r="P131" s="1650"/>
      <c r="Q131" s="1650"/>
      <c r="R131" s="1650"/>
      <c r="S131" s="1650"/>
      <c r="T131" s="1650"/>
      <c r="U131" s="1650"/>
      <c r="V131" s="1650"/>
      <c r="W131" s="1650"/>
      <c r="X131" s="1650"/>
      <c r="Y131" s="1650"/>
      <c r="Z131" s="1650"/>
      <c r="AA131" s="1650"/>
      <c r="AB131" s="1650"/>
      <c r="AC131" s="1650"/>
      <c r="AD131" s="1650"/>
      <c r="AE131" s="1650"/>
      <c r="AF131" s="1650"/>
      <c r="AG131" s="1650"/>
      <c r="AH131" s="1650"/>
      <c r="AI131" s="1650"/>
      <c r="AJ131" s="1650"/>
      <c r="AK131" s="1650"/>
      <c r="AL131" s="1650"/>
      <c r="AM131" s="1650"/>
      <c r="AO131" s="1169"/>
      <c r="AP131" s="1645"/>
      <c r="AQ131" s="1645"/>
      <c r="AR131" s="1169"/>
      <c r="AS131" s="1169"/>
      <c r="AT131" s="1169"/>
      <c r="AU131" s="1169"/>
      <c r="AV131" s="1645"/>
      <c r="AW131" s="1169"/>
      <c r="AX131" s="1169"/>
      <c r="AY131" s="553"/>
      <c r="AZ131" s="1169"/>
      <c r="BA131" s="1169"/>
      <c r="BB131" s="1169"/>
      <c r="BC131" s="1169"/>
      <c r="BD131" s="1169"/>
      <c r="BE131" s="1641"/>
      <c r="BF131" s="575"/>
      <c r="BG131" s="575"/>
      <c r="BH131" s="575"/>
      <c r="BI131" s="575"/>
      <c r="BJ131" s="1650">
        <v>11</v>
      </c>
    </row>
    <row s="1650" customFormat="1" customHeight="1" ht="11.549999999999999">
      <c r="A132" s="996"/>
      <c r="B132" s="1645"/>
      <c r="C132" s="1645"/>
      <c r="D132" s="360"/>
      <c r="J132" s="1650"/>
      <c r="K132" s="1650"/>
      <c r="L132" s="1650"/>
      <c r="M132" s="1650"/>
      <c r="N132" s="1650"/>
      <c r="O132" s="1650"/>
      <c r="P132" s="1650"/>
      <c r="Q132" s="1650"/>
      <c r="R132" s="1650"/>
      <c r="S132" s="1650"/>
      <c r="T132" s="1650"/>
      <c r="U132" s="1650"/>
      <c r="V132" s="1650"/>
      <c r="W132" s="1650"/>
      <c r="X132" s="1650"/>
      <c r="Y132" s="1650"/>
      <c r="Z132" s="1650"/>
      <c r="AA132" s="1650"/>
      <c r="AB132" s="1650"/>
      <c r="AC132" s="1650"/>
      <c r="AD132" s="1650"/>
      <c r="AE132" s="1650"/>
      <c r="AF132" s="1650"/>
      <c r="AG132" s="1650"/>
      <c r="AH132" s="1650"/>
      <c r="AI132" s="1650"/>
      <c r="AJ132" s="1650"/>
      <c r="AK132" s="1650"/>
      <c r="AL132" s="1650"/>
      <c r="AM132" s="1650"/>
      <c r="AO132" s="1169"/>
      <c r="AP132" s="1645"/>
      <c r="AQ132" s="1645"/>
      <c r="AR132" s="1169"/>
      <c r="AS132" s="1169"/>
      <c r="AT132" s="1169"/>
      <c r="AU132" s="1169"/>
      <c r="AV132" s="1645"/>
      <c r="AW132" s="1169"/>
      <c r="AX132" s="1169"/>
      <c r="AY132" s="553"/>
      <c r="AZ132" s="1169"/>
      <c r="BA132" s="1169"/>
      <c r="BB132" s="1169"/>
      <c r="BC132" s="1169"/>
      <c r="BD132" s="1169"/>
      <c r="BE132" s="1641"/>
      <c r="BF132" s="575"/>
      <c r="BG132" s="575"/>
      <c r="BH132" s="575"/>
      <c r="BI132" s="575"/>
      <c r="BJ132" s="1650">
        <v>11</v>
      </c>
    </row>
    <row s="1650" customFormat="1" customHeight="1" ht="11.549999999999999">
      <c r="A133" s="996"/>
      <c r="B133" s="1645"/>
      <c r="C133" s="1645"/>
      <c r="D133" s="360"/>
      <c r="J133" s="1650"/>
      <c r="K133" s="1650"/>
      <c r="L133" s="1650"/>
      <c r="M133" s="1650"/>
      <c r="N133" s="1650"/>
      <c r="O133" s="1650"/>
      <c r="P133" s="1650"/>
      <c r="Q133" s="1650"/>
      <c r="R133" s="1650"/>
      <c r="S133" s="1650"/>
      <c r="T133" s="1650"/>
      <c r="U133" s="1650"/>
      <c r="V133" s="1650"/>
      <c r="W133" s="1650"/>
      <c r="X133" s="1650"/>
      <c r="Y133" s="1650"/>
      <c r="Z133" s="1650"/>
      <c r="AA133" s="1650"/>
      <c r="AB133" s="1650"/>
      <c r="AC133" s="1650"/>
      <c r="AD133" s="1650"/>
      <c r="AE133" s="1650"/>
      <c r="AF133" s="1650"/>
      <c r="AG133" s="1650"/>
      <c r="AH133" s="1650"/>
      <c r="AI133" s="1650"/>
      <c r="AJ133" s="1650"/>
      <c r="AK133" s="1650"/>
      <c r="AL133" s="1650"/>
      <c r="AM133" s="1650"/>
      <c r="AO133" s="1169"/>
      <c r="AP133" s="1645"/>
      <c r="AQ133" s="1645"/>
      <c r="AR133" s="1169"/>
      <c r="AS133" s="1169"/>
      <c r="AT133" s="1169"/>
      <c r="AU133" s="1169"/>
      <c r="AV133" s="1645"/>
      <c r="AW133" s="1169"/>
      <c r="AX133" s="1169"/>
      <c r="AY133" s="553"/>
      <c r="AZ133" s="1169"/>
      <c r="BA133" s="1169"/>
      <c r="BB133" s="1169"/>
      <c r="BC133" s="1169"/>
      <c r="BD133" s="1169"/>
      <c r="BE133" s="1641"/>
      <c r="BF133" s="575"/>
      <c r="BG133" s="575"/>
      <c r="BH133" s="575"/>
      <c r="BI133" s="575"/>
      <c r="BJ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O134" s="1169"/>
      <c r="AP134" s="1645"/>
      <c r="AQ134" s="1645"/>
      <c r="AR134" s="1169"/>
      <c r="AS134" s="1169"/>
      <c r="AT134" s="1169"/>
      <c r="AU134" s="1169"/>
      <c r="AV134" s="1645"/>
      <c r="AW134" s="1169"/>
      <c r="AX134" s="1169"/>
      <c r="AY134" s="553"/>
      <c r="AZ134" s="1169"/>
      <c r="BA134" s="1169"/>
      <c r="BB134" s="1169"/>
      <c r="BC134" s="1169"/>
      <c r="BD134" s="1169"/>
      <c r="BE134" s="1641"/>
      <c r="BF134" s="575"/>
      <c r="BG134" s="575"/>
      <c r="BH134" s="575"/>
      <c r="BI134" s="575"/>
      <c r="BJ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O135" s="1169"/>
      <c r="AP135" s="1645"/>
      <c r="AQ135" s="1645"/>
      <c r="AR135" s="1169"/>
      <c r="AS135" s="1169"/>
      <c r="AT135" s="1169"/>
      <c r="AU135" s="1169"/>
      <c r="AV135" s="1645"/>
      <c r="AW135" s="1169"/>
      <c r="AX135" s="1169"/>
      <c r="AY135" s="553"/>
      <c r="AZ135" s="1169"/>
      <c r="BA135" s="1169"/>
      <c r="BB135" s="1169"/>
      <c r="BC135" s="1169"/>
      <c r="BD135" s="1169"/>
      <c r="BE135" s="1641"/>
      <c r="BF135" s="575"/>
      <c r="BG135" s="575"/>
      <c r="BH135" s="575"/>
      <c r="BI135" s="575"/>
      <c r="BJ135" s="1650">
        <v>11</v>
      </c>
    </row>
    <row s="1650" customFormat="1" customHeight="1" ht="11.549999999999999">
      <c r="A136" s="996"/>
      <c r="B136" s="1645"/>
      <c r="C136" s="1645"/>
      <c r="D136" s="360"/>
      <c r="J136" s="1650"/>
      <c r="K136" s="1650"/>
      <c r="L136" s="1650"/>
      <c r="M136" s="1650"/>
      <c r="N136" s="1650"/>
      <c r="O136" s="1650"/>
      <c r="P136" s="1650"/>
      <c r="Q136" s="1650"/>
      <c r="R136" s="1650"/>
      <c r="S136" s="1650"/>
      <c r="T136" s="1650"/>
      <c r="U136" s="1650"/>
      <c r="V136" s="1650"/>
      <c r="W136" s="1650"/>
      <c r="X136" s="1650"/>
      <c r="Y136" s="1650"/>
      <c r="Z136" s="1650"/>
      <c r="AA136" s="1650"/>
      <c r="AB136" s="1650"/>
      <c r="AC136" s="1650"/>
      <c r="AD136" s="1650"/>
      <c r="AE136" s="1650"/>
      <c r="AF136" s="1650"/>
      <c r="AG136" s="1650"/>
      <c r="AH136" s="1650"/>
      <c r="AI136" s="1650"/>
      <c r="AJ136" s="1650"/>
      <c r="AK136" s="1650"/>
      <c r="AL136" s="1650"/>
      <c r="AM136" s="1650"/>
      <c r="AO136" s="1169"/>
      <c r="AP136" s="1645"/>
      <c r="AQ136" s="1645"/>
      <c r="AR136" s="1169"/>
      <c r="AS136" s="1169"/>
      <c r="AT136" s="1169"/>
      <c r="AU136" s="1169"/>
      <c r="AV136" s="1645"/>
      <c r="AW136" s="1169"/>
      <c r="AX136" s="1169"/>
      <c r="AY136" s="553"/>
      <c r="AZ136" s="1169"/>
      <c r="BA136" s="1169"/>
      <c r="BB136" s="1169"/>
      <c r="BC136" s="1169"/>
      <c r="BD136" s="1169"/>
      <c r="BE136" s="1641"/>
      <c r="BF136" s="575"/>
      <c r="BG136" s="575"/>
      <c r="BH136" s="575"/>
      <c r="BI136" s="575"/>
      <c r="BJ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O137" s="1169"/>
      <c r="AP137" s="1645"/>
      <c r="AQ137" s="1645"/>
      <c r="AR137" s="1169"/>
      <c r="AS137" s="1169"/>
      <c r="AT137" s="1169"/>
      <c r="AU137" s="1169"/>
      <c r="AV137" s="1645"/>
      <c r="AW137" s="1169"/>
      <c r="AX137" s="1169"/>
      <c r="AY137" s="553"/>
      <c r="AZ137" s="1169"/>
      <c r="BA137" s="1169"/>
      <c r="BB137" s="1169"/>
      <c r="BC137" s="1169"/>
      <c r="BD137" s="1169"/>
      <c r="BE137" s="1641"/>
      <c r="BF137" s="575"/>
      <c r="BG137" s="575"/>
      <c r="BH137" s="575"/>
      <c r="BI137" s="575"/>
      <c r="BJ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O138" s="1169"/>
      <c r="AP138" s="1645"/>
      <c r="AQ138" s="1645"/>
      <c r="AR138" s="1169"/>
      <c r="AS138" s="1169"/>
      <c r="AT138" s="1169"/>
      <c r="AU138" s="1169"/>
      <c r="AV138" s="1645"/>
      <c r="AW138" s="1169"/>
      <c r="AX138" s="1169"/>
      <c r="AY138" s="553"/>
      <c r="AZ138" s="1169"/>
      <c r="BA138" s="1169"/>
      <c r="BB138" s="1169"/>
      <c r="BC138" s="1169"/>
      <c r="BD138" s="1169"/>
      <c r="BE138" s="1641"/>
      <c r="BF138" s="575"/>
      <c r="BG138" s="575"/>
      <c r="BH138" s="575"/>
      <c r="BI138" s="575"/>
      <c r="BJ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O139" s="1169"/>
      <c r="AP139" s="1645"/>
      <c r="AQ139" s="1645"/>
      <c r="AR139" s="1169"/>
      <c r="AS139" s="1169"/>
      <c r="AT139" s="1169"/>
      <c r="AU139" s="1169"/>
      <c r="AV139" s="1645"/>
      <c r="AW139" s="1169"/>
      <c r="AX139" s="1169"/>
      <c r="AY139" s="553"/>
      <c r="AZ139" s="1169"/>
      <c r="BA139" s="1169"/>
      <c r="BB139" s="1169"/>
      <c r="BC139" s="1169"/>
      <c r="BD139" s="1169"/>
      <c r="BE139" s="1641"/>
      <c r="BF139" s="575"/>
      <c r="BG139" s="575"/>
      <c r="BH139" s="575"/>
      <c r="BI139" s="575"/>
      <c r="BJ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O140" s="1169"/>
      <c r="AP140" s="1645"/>
      <c r="AQ140" s="1645"/>
      <c r="AR140" s="1169"/>
      <c r="AS140" s="1169"/>
      <c r="AT140" s="1169"/>
      <c r="AU140" s="1169"/>
      <c r="AV140" s="1645"/>
      <c r="AW140" s="1169"/>
      <c r="AX140" s="1169"/>
      <c r="AY140" s="553"/>
      <c r="AZ140" s="1169"/>
      <c r="BA140" s="1169"/>
      <c r="BB140" s="1169"/>
      <c r="BC140" s="1169"/>
      <c r="BD140" s="1169"/>
      <c r="BE140" s="1641"/>
      <c r="BF140" s="575"/>
      <c r="BG140" s="575"/>
      <c r="BH140" s="575"/>
      <c r="BI140" s="575"/>
      <c r="BJ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O141" s="1169"/>
      <c r="AP141" s="1645"/>
      <c r="AQ141" s="1645"/>
      <c r="AR141" s="1169"/>
      <c r="AS141" s="1169"/>
      <c r="AT141" s="1169"/>
      <c r="AU141" s="1169"/>
      <c r="AV141" s="1645"/>
      <c r="AW141" s="1169"/>
      <c r="AX141" s="1169"/>
      <c r="AY141" s="553"/>
      <c r="AZ141" s="1169"/>
      <c r="BA141" s="1169"/>
      <c r="BB141" s="1169"/>
      <c r="BC141" s="1169"/>
      <c r="BD141" s="1169"/>
      <c r="BE141" s="1641"/>
      <c r="BF141" s="575"/>
      <c r="BG141" s="575"/>
      <c r="BH141" s="575"/>
      <c r="BI141" s="575"/>
      <c r="BJ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O142" s="1169"/>
      <c r="AP142" s="1645"/>
      <c r="AQ142" s="1645"/>
      <c r="AR142" s="1169"/>
      <c r="AS142" s="1169"/>
      <c r="AT142" s="1169"/>
      <c r="AU142" s="1169"/>
      <c r="AV142" s="1645"/>
      <c r="AW142" s="1169"/>
      <c r="AX142" s="1169"/>
      <c r="AY142" s="553"/>
      <c r="AZ142" s="1169"/>
      <c r="BA142" s="1169"/>
      <c r="BB142" s="1169"/>
      <c r="BC142" s="1169"/>
      <c r="BD142" s="1169"/>
      <c r="BE142" s="1641"/>
      <c r="BF142" s="575"/>
      <c r="BG142" s="575"/>
      <c r="BH142" s="575"/>
      <c r="BI142" s="575"/>
      <c r="BJ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O143" s="1169"/>
      <c r="AP143" s="1645"/>
      <c r="AQ143" s="1645"/>
      <c r="AR143" s="1169"/>
      <c r="AS143" s="1169"/>
      <c r="AT143" s="1169"/>
      <c r="AU143" s="1169"/>
      <c r="AV143" s="1645"/>
      <c r="AW143" s="1169"/>
      <c r="AX143" s="1169"/>
      <c r="AY143" s="553"/>
      <c r="AZ143" s="1169"/>
      <c r="BA143" s="1169"/>
      <c r="BB143" s="1169"/>
      <c r="BC143" s="1169"/>
      <c r="BD143" s="1169"/>
      <c r="BE143" s="1641"/>
      <c r="BF143" s="575"/>
      <c r="BG143" s="575"/>
      <c r="BH143" s="575"/>
      <c r="BI143" s="575"/>
      <c r="BJ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O144" s="1169"/>
      <c r="AP144" s="1645"/>
      <c r="AQ144" s="1645"/>
      <c r="AR144" s="1169"/>
      <c r="AS144" s="1169"/>
      <c r="AT144" s="1169"/>
      <c r="AU144" s="1169"/>
      <c r="AV144" s="1645"/>
      <c r="AW144" s="1169"/>
      <c r="AX144" s="1169"/>
      <c r="AY144" s="553"/>
      <c r="AZ144" s="1169"/>
      <c r="BA144" s="1169"/>
      <c r="BB144" s="1169"/>
      <c r="BC144" s="1169"/>
      <c r="BD144" s="1169"/>
      <c r="BE144" s="1641"/>
      <c r="BF144" s="575"/>
      <c r="BG144" s="575"/>
      <c r="BH144" s="575"/>
      <c r="BI144" s="575"/>
      <c r="BJ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O145" s="1169"/>
      <c r="AP145" s="1645"/>
      <c r="AQ145" s="1645"/>
      <c r="AR145" s="1169"/>
      <c r="AS145" s="1169"/>
      <c r="AT145" s="1169"/>
      <c r="AU145" s="1169"/>
      <c r="AV145" s="1645"/>
      <c r="AW145" s="1169"/>
      <c r="AX145" s="1169"/>
      <c r="AY145" s="553"/>
      <c r="AZ145" s="1169"/>
      <c r="BA145" s="1169"/>
      <c r="BB145" s="1169"/>
      <c r="BC145" s="1169"/>
      <c r="BD145" s="1169"/>
      <c r="BE145" s="1641"/>
      <c r="BF145" s="575"/>
      <c r="BG145" s="575"/>
      <c r="BH145" s="575"/>
      <c r="BI145" s="575"/>
      <c r="BJ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O146" s="1169"/>
      <c r="AP146" s="1645"/>
      <c r="AQ146" s="1645"/>
      <c r="AR146" s="1169"/>
      <c r="AS146" s="1169"/>
      <c r="AT146" s="1169"/>
      <c r="AU146" s="1169"/>
      <c r="AV146" s="1645"/>
      <c r="AW146" s="1169"/>
      <c r="AX146" s="1169"/>
      <c r="AY146" s="553"/>
      <c r="AZ146" s="1169"/>
      <c r="BA146" s="1169"/>
      <c r="BB146" s="1169"/>
      <c r="BC146" s="1169"/>
      <c r="BD146" s="1169"/>
      <c r="BE146" s="1641"/>
      <c r="BF146" s="575"/>
      <c r="BG146" s="575"/>
      <c r="BH146" s="575"/>
      <c r="BI146" s="575"/>
      <c r="BJ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O147" s="1169"/>
      <c r="AP147" s="1645"/>
      <c r="AQ147" s="1645"/>
      <c r="AR147" s="1169"/>
      <c r="AS147" s="1169"/>
      <c r="AT147" s="1169"/>
      <c r="AU147" s="1169"/>
      <c r="AV147" s="1645"/>
      <c r="AW147" s="1169"/>
      <c r="AX147" s="1169"/>
      <c r="AY147" s="553"/>
      <c r="AZ147" s="1169"/>
      <c r="BA147" s="1169"/>
      <c r="BB147" s="1169"/>
      <c r="BC147" s="1169"/>
      <c r="BD147" s="1169"/>
      <c r="BE147" s="1641"/>
      <c r="BF147" s="575"/>
      <c r="BG147" s="575"/>
      <c r="BH147" s="575"/>
      <c r="BI147" s="575"/>
      <c r="BJ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O148" s="1169"/>
      <c r="AP148" s="1645"/>
      <c r="AQ148" s="1645"/>
      <c r="AR148" s="1169"/>
      <c r="AS148" s="1169"/>
      <c r="AT148" s="1169"/>
      <c r="AU148" s="1169"/>
      <c r="AV148" s="1645"/>
      <c r="AW148" s="1169"/>
      <c r="AX148" s="1169"/>
      <c r="AY148" s="553"/>
      <c r="AZ148" s="1169"/>
      <c r="BA148" s="1169"/>
      <c r="BB148" s="1169"/>
      <c r="BC148" s="1169"/>
      <c r="BD148" s="1169"/>
      <c r="BE148" s="1641"/>
      <c r="BF148" s="575"/>
      <c r="BG148" s="575"/>
      <c r="BH148" s="575"/>
      <c r="BI148" s="575"/>
      <c r="BJ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O149" s="1169"/>
      <c r="AP149" s="1645"/>
      <c r="AQ149" s="1645"/>
      <c r="AR149" s="1169"/>
      <c r="AS149" s="1169"/>
      <c r="AT149" s="1169"/>
      <c r="AU149" s="1169"/>
      <c r="AV149" s="1645"/>
      <c r="AW149" s="1169"/>
      <c r="AX149" s="1169"/>
      <c r="AY149" s="553"/>
      <c r="AZ149" s="1169"/>
      <c r="BA149" s="1169"/>
      <c r="BB149" s="1169"/>
      <c r="BC149" s="1169"/>
      <c r="BD149" s="1169"/>
      <c r="BE149" s="1641"/>
      <c r="BF149" s="575"/>
      <c r="BG149" s="575"/>
      <c r="BH149" s="575"/>
      <c r="BI149" s="575"/>
      <c r="BJ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O150" s="1169"/>
      <c r="AP150" s="1645"/>
      <c r="AQ150" s="1645"/>
      <c r="AR150" s="1169"/>
      <c r="AS150" s="1169"/>
      <c r="AT150" s="1169"/>
      <c r="AU150" s="1169"/>
      <c r="AV150" s="1645"/>
      <c r="AW150" s="1169"/>
      <c r="AX150" s="1169"/>
      <c r="AY150" s="553"/>
      <c r="AZ150" s="1169"/>
      <c r="BA150" s="1169"/>
      <c r="BB150" s="1169"/>
      <c r="BC150" s="1169"/>
      <c r="BD150" s="1169"/>
      <c r="BE150" s="1641"/>
      <c r="BF150" s="575"/>
      <c r="BG150" s="575"/>
      <c r="BH150" s="575"/>
      <c r="BI150" s="575"/>
      <c r="BJ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O151" s="1169"/>
      <c r="AP151" s="1645"/>
      <c r="AQ151" s="1645"/>
      <c r="AR151" s="1169"/>
      <c r="AS151" s="1169"/>
      <c r="AT151" s="1169"/>
      <c r="AU151" s="1169"/>
      <c r="AV151" s="1645"/>
      <c r="AW151" s="1169"/>
      <c r="AX151" s="1169"/>
      <c r="AY151" s="553"/>
      <c r="AZ151" s="1169"/>
      <c r="BA151" s="1169"/>
      <c r="BB151" s="1169"/>
      <c r="BC151" s="1169"/>
      <c r="BD151" s="1169"/>
      <c r="BE151" s="1641"/>
      <c r="BF151" s="575"/>
      <c r="BG151" s="575"/>
      <c r="BH151" s="575"/>
      <c r="BI151" s="575"/>
      <c r="BJ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O152" s="1169"/>
      <c r="AP152" s="1645"/>
      <c r="AQ152" s="1645"/>
      <c r="AR152" s="1169"/>
      <c r="AS152" s="1169"/>
      <c r="AT152" s="1169"/>
      <c r="AU152" s="1169"/>
      <c r="AV152" s="1645"/>
      <c r="AW152" s="1169"/>
      <c r="AX152" s="1169"/>
      <c r="AY152" s="553"/>
      <c r="AZ152" s="1169"/>
      <c r="BA152" s="1169"/>
      <c r="BB152" s="1169"/>
      <c r="BC152" s="1169"/>
      <c r="BD152" s="1169"/>
      <c r="BE152" s="1641"/>
      <c r="BF152" s="575"/>
      <c r="BG152" s="575"/>
      <c r="BH152" s="575"/>
      <c r="BI152" s="575"/>
      <c r="BJ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O153" s="1169"/>
      <c r="AP153" s="1645"/>
      <c r="AQ153" s="1645"/>
      <c r="AR153" s="1169"/>
      <c r="AS153" s="1169"/>
      <c r="AT153" s="1169"/>
      <c r="AU153" s="1169"/>
      <c r="AV153" s="1645"/>
      <c r="AW153" s="1169"/>
      <c r="AX153" s="1169"/>
      <c r="AY153" s="553"/>
      <c r="AZ153" s="1169"/>
      <c r="BA153" s="1169"/>
      <c r="BB153" s="1169"/>
      <c r="BC153" s="1169"/>
      <c r="BD153" s="1169"/>
      <c r="BE153" s="1641"/>
      <c r="BF153" s="575"/>
      <c r="BG153" s="575"/>
      <c r="BH153" s="575"/>
      <c r="BI153" s="575"/>
      <c r="BJ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O154" s="1169"/>
      <c r="AP154" s="1645"/>
      <c r="AQ154" s="1645"/>
      <c r="AR154" s="1169"/>
      <c r="AS154" s="1169"/>
      <c r="AT154" s="1169"/>
      <c r="AU154" s="1169"/>
      <c r="AV154" s="1645"/>
      <c r="AW154" s="1169"/>
      <c r="AX154" s="1169"/>
      <c r="AY154" s="553"/>
      <c r="AZ154" s="1169"/>
      <c r="BA154" s="1169"/>
      <c r="BB154" s="1169"/>
      <c r="BC154" s="1169"/>
      <c r="BD154" s="1169"/>
      <c r="BE154" s="1641"/>
      <c r="BF154" s="575"/>
      <c r="BG154" s="575"/>
      <c r="BH154" s="575"/>
      <c r="BI154" s="575"/>
      <c r="BJ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O155" s="1169"/>
      <c r="AP155" s="1645"/>
      <c r="AQ155" s="1645"/>
      <c r="AR155" s="1169"/>
      <c r="AS155" s="1169"/>
      <c r="AT155" s="1169"/>
      <c r="AU155" s="1169"/>
      <c r="AV155" s="1645"/>
      <c r="AW155" s="1169"/>
      <c r="AX155" s="1169"/>
      <c r="AY155" s="553"/>
      <c r="AZ155" s="1169"/>
      <c r="BA155" s="1169"/>
      <c r="BB155" s="1169"/>
      <c r="BC155" s="1169"/>
      <c r="BD155" s="1169"/>
      <c r="BE155" s="1641"/>
      <c r="BF155" s="575"/>
      <c r="BG155" s="575"/>
      <c r="BH155" s="575"/>
      <c r="BI155" s="575"/>
      <c r="BJ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O156" s="1169"/>
      <c r="AP156" s="1645"/>
      <c r="AQ156" s="1645"/>
      <c r="AR156" s="1169"/>
      <c r="AS156" s="1169"/>
      <c r="AT156" s="1169"/>
      <c r="AU156" s="1169"/>
      <c r="AV156" s="1645"/>
      <c r="AW156" s="1169"/>
      <c r="AX156" s="1169"/>
      <c r="AY156" s="553"/>
      <c r="AZ156" s="1169"/>
      <c r="BA156" s="1169"/>
      <c r="BB156" s="1169"/>
      <c r="BC156" s="1169"/>
      <c r="BD156" s="1169"/>
      <c r="BE156" s="1641"/>
      <c r="BF156" s="575"/>
      <c r="BG156" s="575"/>
      <c r="BH156" s="575"/>
      <c r="BI156" s="575"/>
      <c r="BJ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O157" s="1169"/>
      <c r="AP157" s="1645"/>
      <c r="AQ157" s="1645"/>
      <c r="AR157" s="1169"/>
      <c r="AS157" s="1169"/>
      <c r="AT157" s="1169"/>
      <c r="AU157" s="1169"/>
      <c r="AV157" s="1645"/>
      <c r="AW157" s="1169"/>
      <c r="AX157" s="1169"/>
      <c r="AY157" s="553"/>
      <c r="AZ157" s="1169"/>
      <c r="BA157" s="1169"/>
      <c r="BB157" s="1169"/>
      <c r="BC157" s="1169"/>
      <c r="BD157" s="1169"/>
      <c r="BE157" s="1641"/>
      <c r="BF157" s="575"/>
      <c r="BG157" s="575"/>
      <c r="BH157" s="575"/>
      <c r="BI157" s="575"/>
      <c r="BJ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O158" s="1169"/>
      <c r="AP158" s="1645"/>
      <c r="AQ158" s="1645"/>
      <c r="AR158" s="1169"/>
      <c r="AS158" s="1169"/>
      <c r="AT158" s="1169"/>
      <c r="AU158" s="1169"/>
      <c r="AV158" s="1645"/>
      <c r="AW158" s="1169"/>
      <c r="AX158" s="1169"/>
      <c r="AY158" s="553"/>
      <c r="AZ158" s="1169"/>
      <c r="BA158" s="1169"/>
      <c r="BB158" s="1169"/>
      <c r="BC158" s="1169"/>
      <c r="BD158" s="1169"/>
      <c r="BE158" s="1641"/>
      <c r="BF158" s="575"/>
      <c r="BG158" s="575"/>
      <c r="BH158" s="575"/>
      <c r="BI158" s="575"/>
      <c r="BJ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O159" s="1169"/>
      <c r="AP159" s="1645"/>
      <c r="AQ159" s="1645"/>
      <c r="AR159" s="1169"/>
      <c r="AS159" s="1169"/>
      <c r="AT159" s="1169"/>
      <c r="AU159" s="1169"/>
      <c r="AV159" s="1645"/>
      <c r="AW159" s="1169"/>
      <c r="AX159" s="1169"/>
      <c r="AY159" s="553"/>
      <c r="AZ159" s="1169"/>
      <c r="BA159" s="1169"/>
      <c r="BB159" s="1169"/>
      <c r="BC159" s="1169"/>
      <c r="BD159" s="1169"/>
      <c r="BE159" s="1641"/>
      <c r="BF159" s="575"/>
      <c r="BG159" s="575"/>
      <c r="BH159" s="575"/>
      <c r="BI159" s="575"/>
      <c r="BJ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O160" s="1169"/>
      <c r="AP160" s="1645"/>
      <c r="AQ160" s="1645"/>
      <c r="AR160" s="1169"/>
      <c r="AS160" s="1169"/>
      <c r="AT160" s="1169"/>
      <c r="AU160" s="1169"/>
      <c r="AV160" s="1645"/>
      <c r="AW160" s="1169"/>
      <c r="AX160" s="1169"/>
      <c r="AY160" s="553"/>
      <c r="AZ160" s="1169"/>
      <c r="BA160" s="1169"/>
      <c r="BB160" s="1169"/>
      <c r="BC160" s="1169"/>
      <c r="BD160" s="1169"/>
      <c r="BE160" s="1641"/>
      <c r="BF160" s="575"/>
      <c r="BG160" s="575"/>
      <c r="BH160" s="575"/>
      <c r="BI160" s="575"/>
      <c r="BJ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O161" s="1169"/>
      <c r="AP161" s="1645"/>
      <c r="AQ161" s="1645"/>
      <c r="AR161" s="1169"/>
      <c r="AS161" s="1169"/>
      <c r="AT161" s="1169"/>
      <c r="AU161" s="1169"/>
      <c r="AV161" s="1645"/>
      <c r="AW161" s="1169"/>
      <c r="AX161" s="1169"/>
      <c r="AY161" s="553"/>
      <c r="AZ161" s="1169"/>
      <c r="BA161" s="1169"/>
      <c r="BB161" s="1169"/>
      <c r="BC161" s="1169"/>
      <c r="BD161" s="1169"/>
      <c r="BE161" s="1641"/>
      <c r="BF161" s="575"/>
      <c r="BG161" s="575"/>
      <c r="BH161" s="575"/>
      <c r="BI161" s="575"/>
      <c r="BJ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O162" s="1169"/>
      <c r="AP162" s="1645"/>
      <c r="AQ162" s="1645"/>
      <c r="AR162" s="1169"/>
      <c r="AS162" s="1169"/>
      <c r="AT162" s="1169"/>
      <c r="AU162" s="1169"/>
      <c r="AV162" s="1645"/>
      <c r="AW162" s="1169"/>
      <c r="AX162" s="1169"/>
      <c r="AY162" s="553"/>
      <c r="AZ162" s="1169"/>
      <c r="BA162" s="1169"/>
      <c r="BB162" s="1169"/>
      <c r="BC162" s="1169"/>
      <c r="BD162" s="1169"/>
      <c r="BE162" s="1641"/>
      <c r="BF162" s="575"/>
      <c r="BG162" s="575"/>
      <c r="BH162" s="575"/>
      <c r="BI162" s="575"/>
      <c r="BJ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O163" s="1169"/>
      <c r="AP163" s="1645"/>
      <c r="AQ163" s="1645"/>
      <c r="AR163" s="1169"/>
      <c r="AS163" s="1169"/>
      <c r="AT163" s="1169"/>
      <c r="AU163" s="1169"/>
      <c r="AV163" s="1645"/>
      <c r="AW163" s="1169"/>
      <c r="AX163" s="1169"/>
      <c r="AY163" s="553"/>
      <c r="AZ163" s="1169"/>
      <c r="BA163" s="1169"/>
      <c r="BB163" s="1169"/>
      <c r="BC163" s="1169"/>
      <c r="BD163" s="1169"/>
      <c r="BE163" s="1641"/>
      <c r="BF163" s="575"/>
      <c r="BG163" s="575"/>
      <c r="BH163" s="575"/>
      <c r="BI163" s="575"/>
      <c r="BJ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O164" s="1169"/>
      <c r="AP164" s="1645"/>
      <c r="AQ164" s="1645"/>
      <c r="AR164" s="1169"/>
      <c r="AS164" s="1169"/>
      <c r="AT164" s="1169"/>
      <c r="AU164" s="1169"/>
      <c r="AV164" s="1645"/>
      <c r="AW164" s="1169"/>
      <c r="AX164" s="1169"/>
      <c r="AY164" s="553"/>
      <c r="AZ164" s="1169"/>
      <c r="BA164" s="1169"/>
      <c r="BB164" s="1169"/>
      <c r="BC164" s="1169"/>
      <c r="BD164" s="1169"/>
      <c r="BE164" s="1641"/>
      <c r="BF164" s="575"/>
      <c r="BG164" s="575"/>
      <c r="BH164" s="575"/>
      <c r="BI164" s="575"/>
      <c r="BJ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O165" s="1169"/>
      <c r="AP165" s="1645"/>
      <c r="AQ165" s="1645"/>
      <c r="AR165" s="1169"/>
      <c r="AS165" s="1169"/>
      <c r="AT165" s="1169"/>
      <c r="AU165" s="1169"/>
      <c r="AV165" s="1645"/>
      <c r="AW165" s="1169"/>
      <c r="AX165" s="1169"/>
      <c r="AY165" s="553"/>
      <c r="AZ165" s="1169"/>
      <c r="BA165" s="1169"/>
      <c r="BB165" s="1169"/>
      <c r="BC165" s="1169"/>
      <c r="BD165" s="1169"/>
      <c r="BE165" s="1641"/>
      <c r="BF165" s="575"/>
      <c r="BG165" s="575"/>
      <c r="BH165" s="575"/>
      <c r="BI165" s="575"/>
      <c r="BJ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O166" s="1169"/>
      <c r="AP166" s="1645"/>
      <c r="AQ166" s="1645"/>
      <c r="AR166" s="1169"/>
      <c r="AS166" s="1169"/>
      <c r="AT166" s="1169"/>
      <c r="AU166" s="1169"/>
      <c r="AV166" s="1645"/>
      <c r="AW166" s="1169"/>
      <c r="AX166" s="1169"/>
      <c r="AY166" s="553"/>
      <c r="AZ166" s="1169"/>
      <c r="BA166" s="1169"/>
      <c r="BB166" s="1169"/>
      <c r="BC166" s="1169"/>
      <c r="BD166" s="1169"/>
      <c r="BE166" s="1641"/>
      <c r="BF166" s="575"/>
      <c r="BG166" s="575"/>
      <c r="BH166" s="575"/>
      <c r="BI166" s="575"/>
      <c r="BJ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O167" s="1169"/>
      <c r="AP167" s="1645"/>
      <c r="AQ167" s="1645"/>
      <c r="AR167" s="1169"/>
      <c r="AS167" s="1169"/>
      <c r="AT167" s="1169"/>
      <c r="AU167" s="1169"/>
      <c r="AV167" s="1645"/>
      <c r="AW167" s="1169"/>
      <c r="AX167" s="1169"/>
      <c r="AY167" s="553"/>
      <c r="AZ167" s="1169"/>
      <c r="BA167" s="1169"/>
      <c r="BB167" s="1169"/>
      <c r="BC167" s="1169"/>
      <c r="BD167" s="1169"/>
      <c r="BE167" s="1641"/>
      <c r="BF167" s="575"/>
      <c r="BG167" s="575"/>
      <c r="BH167" s="575"/>
      <c r="BI167" s="575"/>
      <c r="BJ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O168" s="1169"/>
      <c r="AP168" s="1645"/>
      <c r="AQ168" s="1645"/>
      <c r="AR168" s="1169"/>
      <c r="AS168" s="1169"/>
      <c r="AT168" s="1169"/>
      <c r="AU168" s="1169"/>
      <c r="AV168" s="1645"/>
      <c r="AW168" s="1169"/>
      <c r="AX168" s="1169"/>
      <c r="AY168" s="553"/>
      <c r="AZ168" s="1169"/>
      <c r="BA168" s="1169"/>
      <c r="BB168" s="1169"/>
      <c r="BC168" s="1169"/>
      <c r="BD168" s="1169"/>
      <c r="BE168" s="1641"/>
      <c r="BF168" s="575"/>
      <c r="BG168" s="575"/>
      <c r="BH168" s="575"/>
      <c r="BI168" s="575"/>
      <c r="BJ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O169" s="1169"/>
      <c r="AP169" s="1645"/>
      <c r="AQ169" s="1645"/>
      <c r="AR169" s="1169"/>
      <c r="AS169" s="1169"/>
      <c r="AT169" s="1169"/>
      <c r="AU169" s="1169"/>
      <c r="AV169" s="1645"/>
      <c r="AW169" s="1169"/>
      <c r="AX169" s="1169"/>
      <c r="AY169" s="553"/>
      <c r="AZ169" s="1169"/>
      <c r="BA169" s="1169"/>
      <c r="BB169" s="1169"/>
      <c r="BC169" s="1169"/>
      <c r="BD169" s="1169"/>
      <c r="BE169" s="1641"/>
      <c r="BF169" s="575"/>
      <c r="BG169" s="575"/>
      <c r="BH169" s="575"/>
      <c r="BI169" s="575"/>
      <c r="BJ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O170" s="1169"/>
      <c r="AP170" s="1645"/>
      <c r="AQ170" s="1645"/>
      <c r="AR170" s="1169"/>
      <c r="AS170" s="1169"/>
      <c r="AT170" s="1169"/>
      <c r="AU170" s="1169"/>
      <c r="AV170" s="1645"/>
      <c r="AW170" s="1169"/>
      <c r="AX170" s="1169"/>
      <c r="AY170" s="553"/>
      <c r="AZ170" s="1169"/>
      <c r="BA170" s="1169"/>
      <c r="BB170" s="1169"/>
      <c r="BC170" s="1169"/>
      <c r="BD170" s="1169"/>
      <c r="BE170" s="1641"/>
      <c r="BF170" s="575"/>
      <c r="BG170" s="575"/>
      <c r="BH170" s="575"/>
      <c r="BI170" s="575"/>
      <c r="BJ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O171" s="1169"/>
      <c r="AP171" s="1645"/>
      <c r="AQ171" s="1645"/>
      <c r="AR171" s="1169"/>
      <c r="AS171" s="1169"/>
      <c r="AT171" s="1169"/>
      <c r="AU171" s="1169"/>
      <c r="AV171" s="1645"/>
      <c r="AW171" s="1169"/>
      <c r="AX171" s="1169"/>
      <c r="AY171" s="553"/>
      <c r="AZ171" s="1169"/>
      <c r="BA171" s="1169"/>
      <c r="BB171" s="1169"/>
      <c r="BC171" s="1169"/>
      <c r="BD171" s="1169"/>
      <c r="BE171" s="1641"/>
      <c r="BF171" s="575"/>
      <c r="BG171" s="575"/>
      <c r="BH171" s="575"/>
      <c r="BI171" s="575"/>
      <c r="BJ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O172" s="1169"/>
      <c r="AP172" s="1645"/>
      <c r="AQ172" s="1645"/>
      <c r="AR172" s="1169"/>
      <c r="AS172" s="1169"/>
      <c r="AT172" s="1169"/>
      <c r="AU172" s="1169"/>
      <c r="AV172" s="1645"/>
      <c r="AW172" s="1169"/>
      <c r="AX172" s="1169"/>
      <c r="AY172" s="553"/>
      <c r="AZ172" s="1169"/>
      <c r="BA172" s="1169"/>
      <c r="BB172" s="1169"/>
      <c r="BC172" s="1169"/>
      <c r="BD172" s="1169"/>
      <c r="BE172" s="1641"/>
      <c r="BF172" s="575"/>
      <c r="BG172" s="575"/>
      <c r="BH172" s="575"/>
      <c r="BI172" s="575"/>
      <c r="BJ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O173" s="1169"/>
      <c r="AP173" s="1645"/>
      <c r="AQ173" s="1645"/>
      <c r="AR173" s="1169"/>
      <c r="AS173" s="1169"/>
      <c r="AT173" s="1169"/>
      <c r="AU173" s="1169"/>
      <c r="AV173" s="1645"/>
      <c r="AW173" s="1169"/>
      <c r="AX173" s="1169"/>
      <c r="AY173" s="553"/>
      <c r="AZ173" s="1169"/>
      <c r="BA173" s="1169"/>
      <c r="BB173" s="1169"/>
      <c r="BC173" s="1169"/>
      <c r="BD173" s="1169"/>
      <c r="BE173" s="1641"/>
      <c r="BF173" s="575"/>
      <c r="BG173" s="575"/>
      <c r="BH173" s="575"/>
      <c r="BI173" s="575"/>
      <c r="BJ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O174" s="1169"/>
      <c r="AP174" s="1645"/>
      <c r="AQ174" s="1645"/>
      <c r="AR174" s="1169"/>
      <c r="AS174" s="1169"/>
      <c r="AT174" s="1169"/>
      <c r="AU174" s="1169"/>
      <c r="AV174" s="1645"/>
      <c r="AW174" s="1169"/>
      <c r="AX174" s="1169"/>
      <c r="AY174" s="553"/>
      <c r="AZ174" s="1169"/>
      <c r="BA174" s="1169"/>
      <c r="BB174" s="1169"/>
      <c r="BC174" s="1169"/>
      <c r="BD174" s="1169"/>
      <c r="BE174" s="1641"/>
      <c r="BF174" s="575"/>
      <c r="BG174" s="575"/>
      <c r="BH174" s="575"/>
      <c r="BI174" s="575"/>
      <c r="BJ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O175" s="1169"/>
      <c r="AP175" s="1645"/>
      <c r="AQ175" s="1645"/>
      <c r="AR175" s="1169"/>
      <c r="AS175" s="1169"/>
      <c r="AT175" s="1169"/>
      <c r="AU175" s="1169"/>
      <c r="AV175" s="1645"/>
      <c r="AW175" s="1169"/>
      <c r="AX175" s="1169"/>
      <c r="AY175" s="553"/>
      <c r="AZ175" s="1169"/>
      <c r="BA175" s="1169"/>
      <c r="BB175" s="1169"/>
      <c r="BC175" s="1169"/>
      <c r="BD175" s="1169"/>
      <c r="BE175" s="1641"/>
      <c r="BF175" s="575"/>
      <c r="BG175" s="575"/>
      <c r="BH175" s="575"/>
      <c r="BI175" s="575"/>
      <c r="BJ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O176" s="1169"/>
      <c r="AP176" s="1645"/>
      <c r="AQ176" s="1645"/>
      <c r="AR176" s="1169"/>
      <c r="AS176" s="1169"/>
      <c r="AT176" s="1169"/>
      <c r="AU176" s="1169"/>
      <c r="AV176" s="1645"/>
      <c r="AW176" s="1169"/>
      <c r="AX176" s="1169"/>
      <c r="AY176" s="553"/>
      <c r="AZ176" s="1169"/>
      <c r="BA176" s="1169"/>
      <c r="BB176" s="1169"/>
      <c r="BC176" s="1169"/>
      <c r="BD176" s="1169"/>
      <c r="BE176" s="1641"/>
      <c r="BF176" s="575"/>
      <c r="BG176" s="575"/>
      <c r="BH176" s="575"/>
      <c r="BI176" s="575"/>
      <c r="BJ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O177" s="1169"/>
      <c r="AP177" s="1645"/>
      <c r="AQ177" s="1645"/>
      <c r="AR177" s="1169"/>
      <c r="AS177" s="1169"/>
      <c r="AT177" s="1169"/>
      <c r="AU177" s="1169"/>
      <c r="AV177" s="1645"/>
      <c r="AW177" s="1169"/>
      <c r="AX177" s="1169"/>
      <c r="AY177" s="553"/>
      <c r="AZ177" s="1169"/>
      <c r="BA177" s="1169"/>
      <c r="BB177" s="1169"/>
      <c r="BC177" s="1169"/>
      <c r="BD177" s="1169"/>
      <c r="BE177" s="1641"/>
      <c r="BF177" s="575"/>
      <c r="BG177" s="575"/>
      <c r="BH177" s="575"/>
      <c r="BI177" s="575"/>
      <c r="BJ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O178" s="1169"/>
      <c r="AP178" s="1645"/>
      <c r="AQ178" s="1645"/>
      <c r="AR178" s="1169"/>
      <c r="AS178" s="1169"/>
      <c r="AT178" s="1169"/>
      <c r="AU178" s="1169"/>
      <c r="AV178" s="1645"/>
      <c r="AW178" s="1169"/>
      <c r="AX178" s="1169"/>
      <c r="AY178" s="553"/>
      <c r="AZ178" s="1169"/>
      <c r="BA178" s="1169"/>
      <c r="BB178" s="1169"/>
      <c r="BC178" s="1169"/>
      <c r="BD178" s="1169"/>
      <c r="BE178" s="1641"/>
      <c r="BF178" s="575"/>
      <c r="BG178" s="575"/>
      <c r="BH178" s="575"/>
      <c r="BI178" s="575"/>
      <c r="BJ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O179" s="1169"/>
      <c r="AP179" s="1645"/>
      <c r="AQ179" s="1645"/>
      <c r="AR179" s="1169"/>
      <c r="AS179" s="1169"/>
      <c r="AT179" s="1169"/>
      <c r="AU179" s="1169"/>
      <c r="AV179" s="1645"/>
      <c r="AW179" s="1169"/>
      <c r="AX179" s="1169"/>
      <c r="AY179" s="553"/>
      <c r="AZ179" s="1169"/>
      <c r="BA179" s="1169"/>
      <c r="BB179" s="1169"/>
      <c r="BC179" s="1169"/>
      <c r="BD179" s="1169"/>
      <c r="BE179" s="1641"/>
      <c r="BF179" s="575"/>
      <c r="BG179" s="575"/>
      <c r="BH179" s="575"/>
      <c r="BI179" s="575"/>
      <c r="BJ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O180" s="1169"/>
      <c r="AP180" s="1645"/>
      <c r="AQ180" s="1645"/>
      <c r="AR180" s="1169"/>
      <c r="AS180" s="1169"/>
      <c r="AT180" s="1169"/>
      <c r="AU180" s="1169"/>
      <c r="AV180" s="1645"/>
      <c r="AW180" s="1169"/>
      <c r="AX180" s="1169"/>
      <c r="AY180" s="553"/>
      <c r="AZ180" s="1169"/>
      <c r="BA180" s="1169"/>
      <c r="BB180" s="1169"/>
      <c r="BC180" s="1169"/>
      <c r="BD180" s="1169"/>
      <c r="BE180" s="1641"/>
      <c r="BF180" s="575"/>
      <c r="BG180" s="575"/>
      <c r="BH180" s="575"/>
      <c r="BI180" s="575"/>
      <c r="BJ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O181" s="1169"/>
      <c r="AP181" s="1645"/>
      <c r="AQ181" s="1645"/>
      <c r="AR181" s="1169"/>
      <c r="AS181" s="1169"/>
      <c r="AT181" s="1169"/>
      <c r="AU181" s="1169"/>
      <c r="AV181" s="1645"/>
      <c r="AW181" s="1169"/>
      <c r="AX181" s="1169"/>
      <c r="AY181" s="553"/>
      <c r="AZ181" s="1169"/>
      <c r="BA181" s="1169"/>
      <c r="BB181" s="1169"/>
      <c r="BC181" s="1169"/>
      <c r="BD181" s="1169"/>
      <c r="BE181" s="1641"/>
      <c r="BF181" s="575"/>
      <c r="BG181" s="575"/>
      <c r="BH181" s="575"/>
      <c r="BI181" s="575"/>
      <c r="BJ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O182" s="1169"/>
      <c r="AP182" s="1645"/>
      <c r="AQ182" s="1645"/>
      <c r="AR182" s="1169"/>
      <c r="AS182" s="1169"/>
      <c r="AT182" s="1169"/>
      <c r="AU182" s="1169"/>
      <c r="AV182" s="1645"/>
      <c r="AW182" s="1169"/>
      <c r="AX182" s="1169"/>
      <c r="AY182" s="553"/>
      <c r="AZ182" s="1169"/>
      <c r="BA182" s="1169"/>
      <c r="BB182" s="1169"/>
      <c r="BC182" s="1169"/>
      <c r="BD182" s="1169"/>
      <c r="BE182" s="1641"/>
      <c r="BF182" s="575"/>
      <c r="BG182" s="575"/>
      <c r="BH182" s="575"/>
      <c r="BI182" s="575"/>
      <c r="BJ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O183" s="1169"/>
      <c r="AP183" s="1645"/>
      <c r="AQ183" s="1645"/>
      <c r="AR183" s="1169"/>
      <c r="AS183" s="1169"/>
      <c r="AT183" s="1169"/>
      <c r="AU183" s="1169"/>
      <c r="AV183" s="1645"/>
      <c r="AW183" s="1169"/>
      <c r="AX183" s="1169"/>
      <c r="AY183" s="553"/>
      <c r="AZ183" s="1169"/>
      <c r="BA183" s="1169"/>
      <c r="BB183" s="1169"/>
      <c r="BC183" s="1169"/>
      <c r="BD183" s="1169"/>
      <c r="BE183" s="1641"/>
      <c r="BF183" s="575"/>
      <c r="BG183" s="575"/>
      <c r="BH183" s="575"/>
      <c r="BI183" s="575"/>
      <c r="BJ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O184" s="1169"/>
      <c r="AP184" s="1645"/>
      <c r="AQ184" s="1645"/>
      <c r="AR184" s="1169"/>
      <c r="AS184" s="1169"/>
      <c r="AT184" s="1169"/>
      <c r="AU184" s="1169"/>
      <c r="AV184" s="1645"/>
      <c r="AW184" s="1169"/>
      <c r="AX184" s="1169"/>
      <c r="AY184" s="553"/>
      <c r="AZ184" s="1169"/>
      <c r="BA184" s="1169"/>
      <c r="BB184" s="1169"/>
      <c r="BC184" s="1169"/>
      <c r="BD184" s="1169"/>
      <c r="BE184" s="1641"/>
      <c r="BF184" s="575"/>
      <c r="BG184" s="575"/>
      <c r="BH184" s="575"/>
      <c r="BI184" s="575"/>
      <c r="BJ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O185" s="1169"/>
      <c r="AP185" s="1645"/>
      <c r="AQ185" s="1645"/>
      <c r="AR185" s="1169"/>
      <c r="AS185" s="1169"/>
      <c r="AT185" s="1169"/>
      <c r="AU185" s="1169"/>
      <c r="AV185" s="1645"/>
      <c r="AW185" s="1169"/>
      <c r="AX185" s="1169"/>
      <c r="AY185" s="553"/>
      <c r="AZ185" s="1169"/>
      <c r="BA185" s="1169"/>
      <c r="BB185" s="1169"/>
      <c r="BC185" s="1169"/>
      <c r="BD185" s="1169"/>
      <c r="BE185" s="1641"/>
      <c r="BF185" s="575"/>
      <c r="BG185" s="575"/>
      <c r="BH185" s="575"/>
      <c r="BI185" s="575"/>
      <c r="BJ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O186" s="1169"/>
      <c r="AP186" s="1645"/>
      <c r="AQ186" s="1645"/>
      <c r="AR186" s="1169"/>
      <c r="AS186" s="1169"/>
      <c r="AT186" s="1169"/>
      <c r="AU186" s="1169"/>
      <c r="AV186" s="1645"/>
      <c r="AW186" s="1169"/>
      <c r="AX186" s="1169"/>
      <c r="AY186" s="553"/>
      <c r="AZ186" s="1169"/>
      <c r="BA186" s="1169"/>
      <c r="BB186" s="1169"/>
      <c r="BC186" s="1169"/>
      <c r="BD186" s="1169"/>
      <c r="BE186" s="1641"/>
      <c r="BF186" s="575"/>
      <c r="BG186" s="575"/>
      <c r="BH186" s="575"/>
      <c r="BI186" s="575"/>
      <c r="BJ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O187" s="1169"/>
      <c r="AP187" s="1645"/>
      <c r="AQ187" s="1645"/>
      <c r="AR187" s="1169"/>
      <c r="AS187" s="1169"/>
      <c r="AT187" s="1169"/>
      <c r="AU187" s="1169"/>
      <c r="AV187" s="1645"/>
      <c r="AW187" s="1169"/>
      <c r="AX187" s="1169"/>
      <c r="AY187" s="553"/>
      <c r="AZ187" s="1169"/>
      <c r="BA187" s="1169"/>
      <c r="BB187" s="1169"/>
      <c r="BC187" s="1169"/>
      <c r="BD187" s="1169"/>
      <c r="BE187" s="1641"/>
      <c r="BF187" s="575"/>
      <c r="BG187" s="575"/>
      <c r="BH187" s="575"/>
      <c r="BI187" s="575"/>
      <c r="BJ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O188" s="1169"/>
      <c r="AP188" s="1645"/>
      <c r="AQ188" s="1645"/>
      <c r="AR188" s="1169"/>
      <c r="AS188" s="1169"/>
      <c r="AT188" s="1169"/>
      <c r="AU188" s="1169"/>
      <c r="AV188" s="1645"/>
      <c r="AW188" s="1169"/>
      <c r="AX188" s="1169"/>
      <c r="AY188" s="553"/>
      <c r="AZ188" s="1169"/>
      <c r="BA188" s="1169"/>
      <c r="BB188" s="1169"/>
      <c r="BC188" s="1169"/>
      <c r="BD188" s="1169"/>
      <c r="BE188" s="1641"/>
      <c r="BF188" s="575"/>
      <c r="BG188" s="575"/>
      <c r="BH188" s="575"/>
      <c r="BI188" s="575"/>
      <c r="BJ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O189" s="1169"/>
      <c r="AP189" s="1645"/>
      <c r="AQ189" s="1645"/>
      <c r="AR189" s="1169"/>
      <c r="AS189" s="1169"/>
      <c r="AT189" s="1169"/>
      <c r="AU189" s="1169"/>
      <c r="AV189" s="1645"/>
      <c r="AW189" s="1169"/>
      <c r="AX189" s="1169"/>
      <c r="AY189" s="553"/>
      <c r="AZ189" s="1169"/>
      <c r="BA189" s="1169"/>
      <c r="BB189" s="1169"/>
      <c r="BC189" s="1169"/>
      <c r="BD189" s="1169"/>
      <c r="BE189" s="1641"/>
      <c r="BF189" s="575"/>
      <c r="BG189" s="575"/>
      <c r="BH189" s="575"/>
      <c r="BI189" s="575"/>
      <c r="BJ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X190" s="1650"/>
      <c r="Y190" s="1650"/>
      <c r="Z190" s="1650"/>
      <c r="AA190" s="1650"/>
      <c r="AB190" s="1650"/>
      <c r="AC190" s="1650"/>
      <c r="AD190" s="1650"/>
      <c r="AE190" s="1650"/>
      <c r="AF190" s="1650"/>
      <c r="AG190" s="1650"/>
      <c r="AH190" s="1650"/>
      <c r="AI190" s="1650"/>
      <c r="AJ190" s="1650"/>
      <c r="AK190" s="1650"/>
      <c r="AL190" s="1650"/>
      <c r="AM190" s="1650"/>
      <c r="AO190" s="1169"/>
      <c r="AP190" s="1645"/>
      <c r="AQ190" s="1645"/>
      <c r="AR190" s="1169"/>
      <c r="AS190" s="1169"/>
      <c r="AT190" s="1169"/>
      <c r="AU190" s="1169"/>
      <c r="AV190" s="1645"/>
      <c r="AW190" s="1169"/>
      <c r="AX190" s="1169"/>
      <c r="AY190" s="553"/>
      <c r="AZ190" s="1169"/>
      <c r="BA190" s="1169"/>
      <c r="BB190" s="1169"/>
      <c r="BC190" s="1169"/>
      <c r="BD190" s="1169"/>
      <c r="BE190" s="1641"/>
      <c r="BF190" s="575"/>
      <c r="BG190" s="575"/>
      <c r="BH190" s="575"/>
      <c r="BI190" s="575"/>
      <c r="BJ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X191" s="1650"/>
      <c r="Y191" s="1650"/>
      <c r="Z191" s="1650"/>
      <c r="AA191" s="1650"/>
      <c r="AB191" s="1650"/>
      <c r="AC191" s="1650"/>
      <c r="AD191" s="1650"/>
      <c r="AE191" s="1650"/>
      <c r="AF191" s="1650"/>
      <c r="AG191" s="1650"/>
      <c r="AH191" s="1650"/>
      <c r="AI191" s="1650"/>
      <c r="AJ191" s="1650"/>
      <c r="AK191" s="1650"/>
      <c r="AL191" s="1650"/>
      <c r="AM191" s="1650"/>
      <c r="AO191" s="1169"/>
      <c r="AP191" s="1645"/>
      <c r="AQ191" s="1645"/>
      <c r="AR191" s="1169"/>
      <c r="AS191" s="1169"/>
      <c r="AT191" s="1169"/>
      <c r="AU191" s="1169"/>
      <c r="AV191" s="1645"/>
      <c r="AW191" s="1169"/>
      <c r="AX191" s="1169"/>
      <c r="AY191" s="553"/>
      <c r="AZ191" s="1169"/>
      <c r="BA191" s="1169"/>
      <c r="BB191" s="1169"/>
      <c r="BC191" s="1169"/>
      <c r="BD191" s="1169"/>
      <c r="BE191" s="1641"/>
      <c r="BF191" s="575"/>
      <c r="BG191" s="575"/>
      <c r="BH191" s="575"/>
      <c r="BI191" s="575"/>
      <c r="BJ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X192" s="1650"/>
      <c r="Y192" s="1650"/>
      <c r="Z192" s="1650"/>
      <c r="AA192" s="1650"/>
      <c r="AB192" s="1650"/>
      <c r="AC192" s="1650"/>
      <c r="AD192" s="1650"/>
      <c r="AE192" s="1650"/>
      <c r="AF192" s="1650"/>
      <c r="AG192" s="1650"/>
      <c r="AH192" s="1650"/>
      <c r="AI192" s="1650"/>
      <c r="AJ192" s="1650"/>
      <c r="AK192" s="1650"/>
      <c r="AL192" s="1650"/>
      <c r="AM192" s="1650"/>
      <c r="AO192" s="1169"/>
      <c r="AP192" s="1645"/>
      <c r="AQ192" s="1645"/>
      <c r="AR192" s="1169"/>
      <c r="AS192" s="1169"/>
      <c r="AT192" s="1169"/>
      <c r="AU192" s="1169"/>
      <c r="AV192" s="1645"/>
      <c r="AW192" s="1169"/>
      <c r="AX192" s="1169"/>
      <c r="AY192" s="553"/>
      <c r="AZ192" s="1169"/>
      <c r="BA192" s="1169"/>
      <c r="BB192" s="1169"/>
      <c r="BC192" s="1169"/>
      <c r="BD192" s="1169"/>
      <c r="BE192" s="1641"/>
      <c r="BF192" s="575"/>
      <c r="BG192" s="575"/>
      <c r="BH192" s="575"/>
      <c r="BI192" s="575"/>
      <c r="BJ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X193" s="1650"/>
      <c r="Y193" s="1650"/>
      <c r="Z193" s="1650"/>
      <c r="AA193" s="1650"/>
      <c r="AB193" s="1650"/>
      <c r="AC193" s="1650"/>
      <c r="AD193" s="1650"/>
      <c r="AE193" s="1650"/>
      <c r="AF193" s="1650"/>
      <c r="AG193" s="1650"/>
      <c r="AH193" s="1650"/>
      <c r="AI193" s="1650"/>
      <c r="AJ193" s="1650"/>
      <c r="AK193" s="1650"/>
      <c r="AL193" s="1650"/>
      <c r="AM193" s="1650"/>
      <c r="AO193" s="1169"/>
      <c r="AP193" s="1645"/>
      <c r="AQ193" s="1645"/>
      <c r="AR193" s="1169"/>
      <c r="AS193" s="1169"/>
      <c r="AT193" s="1169"/>
      <c r="AU193" s="1169"/>
      <c r="AV193" s="1645"/>
      <c r="AW193" s="1169"/>
      <c r="AX193" s="1169"/>
      <c r="AY193" s="553"/>
      <c r="AZ193" s="1169"/>
      <c r="BA193" s="1169"/>
      <c r="BB193" s="1169"/>
      <c r="BC193" s="1169"/>
      <c r="BD193" s="1169"/>
      <c r="BE193" s="1641"/>
      <c r="BF193" s="575"/>
      <c r="BG193" s="575"/>
      <c r="BH193" s="575"/>
      <c r="BI193" s="575"/>
      <c r="BJ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X194" s="1650"/>
      <c r="Y194" s="1650"/>
      <c r="Z194" s="1650"/>
      <c r="AA194" s="1650"/>
      <c r="AB194" s="1650"/>
      <c r="AC194" s="1650"/>
      <c r="AD194" s="1650"/>
      <c r="AE194" s="1650"/>
      <c r="AF194" s="1650"/>
      <c r="AG194" s="1650"/>
      <c r="AH194" s="1650"/>
      <c r="AI194" s="1650"/>
      <c r="AJ194" s="1650"/>
      <c r="AK194" s="1650"/>
      <c r="AL194" s="1650"/>
      <c r="AM194" s="1650"/>
      <c r="AO194" s="1169"/>
      <c r="AP194" s="1645"/>
      <c r="AQ194" s="1645"/>
      <c r="AR194" s="1169"/>
      <c r="AS194" s="1169"/>
      <c r="AT194" s="1169"/>
      <c r="AU194" s="1169"/>
      <c r="AV194" s="1645"/>
      <c r="AW194" s="1169"/>
      <c r="AX194" s="1169"/>
      <c r="AY194" s="553"/>
      <c r="AZ194" s="1169"/>
      <c r="BA194" s="1169"/>
      <c r="BB194" s="1169"/>
      <c r="BC194" s="1169"/>
      <c r="BD194" s="1169"/>
      <c r="BE194" s="1641"/>
      <c r="BF194" s="575"/>
      <c r="BG194" s="575"/>
      <c r="BH194" s="575"/>
      <c r="BI194" s="575"/>
      <c r="BJ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X195" s="1650"/>
      <c r="Y195" s="1650"/>
      <c r="Z195" s="1650"/>
      <c r="AA195" s="1650"/>
      <c r="AB195" s="1650"/>
      <c r="AC195" s="1650"/>
      <c r="AD195" s="1650"/>
      <c r="AE195" s="1650"/>
      <c r="AF195" s="1650"/>
      <c r="AG195" s="1650"/>
      <c r="AH195" s="1650"/>
      <c r="AI195" s="1650"/>
      <c r="AJ195" s="1650"/>
      <c r="AK195" s="1650"/>
      <c r="AL195" s="1650"/>
      <c r="AM195" s="1650"/>
      <c r="AO195" s="1169"/>
      <c r="AP195" s="1645"/>
      <c r="AQ195" s="1645"/>
      <c r="AR195" s="1169"/>
      <c r="AS195" s="1169"/>
      <c r="AT195" s="1169"/>
      <c r="AU195" s="1169"/>
      <c r="AV195" s="1645"/>
      <c r="AW195" s="1169"/>
      <c r="AX195" s="1169"/>
      <c r="AY195" s="553"/>
      <c r="AZ195" s="1169"/>
      <c r="BA195" s="1169"/>
      <c r="BB195" s="1169"/>
      <c r="BC195" s="1169"/>
      <c r="BD195" s="1169"/>
      <c r="BE195" s="1641"/>
      <c r="BF195" s="575"/>
      <c r="BG195" s="575"/>
      <c r="BH195" s="575"/>
      <c r="BI195" s="575"/>
      <c r="BJ195" s="1650">
        <v>11</v>
      </c>
    </row>
    <row s="1650" customFormat="1" customHeight="1" ht="11.549999999999999">
      <c r="A196" s="996"/>
      <c r="B196" s="1645"/>
      <c r="C196" s="1645"/>
      <c r="D196" s="360"/>
      <c r="J196" s="1650"/>
      <c r="K196" s="1650"/>
      <c r="L196" s="1650"/>
      <c r="M196" s="1650"/>
      <c r="N196" s="1650"/>
      <c r="O196" s="1650"/>
      <c r="P196" s="1650"/>
      <c r="Q196" s="1650"/>
      <c r="R196" s="1650"/>
      <c r="S196" s="1650"/>
      <c r="T196" s="1650"/>
      <c r="U196" s="1650"/>
      <c r="V196" s="1650"/>
      <c r="W196" s="1650"/>
      <c r="X196" s="1650"/>
      <c r="Y196" s="1650"/>
      <c r="Z196" s="1650"/>
      <c r="AA196" s="1650"/>
      <c r="AB196" s="1650"/>
      <c r="AC196" s="1650"/>
      <c r="AD196" s="1650"/>
      <c r="AE196" s="1650"/>
      <c r="AF196" s="1650"/>
      <c r="AG196" s="1650"/>
      <c r="AH196" s="1650"/>
      <c r="AI196" s="1650"/>
      <c r="AJ196" s="1650"/>
      <c r="AK196" s="1650"/>
      <c r="AL196" s="1650"/>
      <c r="AM196" s="1650"/>
      <c r="AO196" s="1169"/>
      <c r="AP196" s="1645"/>
      <c r="AQ196" s="1645"/>
      <c r="AR196" s="1169"/>
      <c r="AS196" s="1169"/>
      <c r="AT196" s="1169"/>
      <c r="AU196" s="1169"/>
      <c r="AV196" s="1645"/>
      <c r="AW196" s="1169"/>
      <c r="AX196" s="1169"/>
      <c r="AY196" s="553"/>
      <c r="AZ196" s="1169"/>
      <c r="BA196" s="1169"/>
      <c r="BB196" s="1169"/>
      <c r="BC196" s="1169"/>
      <c r="BD196" s="1169"/>
      <c r="BE196" s="1641"/>
      <c r="BF196" s="575"/>
      <c r="BG196" s="575"/>
      <c r="BH196" s="575"/>
      <c r="BI196" s="575"/>
      <c r="BJ196" s="1650">
        <v>11</v>
      </c>
    </row>
    <row s="1650" customFormat="1" customHeight="1" ht="11.549999999999999">
      <c r="A197" s="996"/>
      <c r="B197" s="1645"/>
      <c r="C197" s="1645"/>
      <c r="D197" s="360"/>
      <c r="J197" s="1650"/>
      <c r="K197" s="1650"/>
      <c r="L197" s="1650"/>
      <c r="M197" s="1650"/>
      <c r="N197" s="1650"/>
      <c r="O197" s="1650"/>
      <c r="P197" s="1650"/>
      <c r="Q197" s="1650"/>
      <c r="R197" s="1650"/>
      <c r="S197" s="1650"/>
      <c r="T197" s="1650"/>
      <c r="U197" s="1650"/>
      <c r="V197" s="1650"/>
      <c r="W197" s="1650"/>
      <c r="X197" s="1650"/>
      <c r="Y197" s="1650"/>
      <c r="Z197" s="1650"/>
      <c r="AA197" s="1650"/>
      <c r="AB197" s="1650"/>
      <c r="AC197" s="1650"/>
      <c r="AD197" s="1650"/>
      <c r="AE197" s="1650"/>
      <c r="AF197" s="1650"/>
      <c r="AG197" s="1650"/>
      <c r="AH197" s="1650"/>
      <c r="AI197" s="1650"/>
      <c r="AJ197" s="1650"/>
      <c r="AK197" s="1650"/>
      <c r="AL197" s="1650"/>
      <c r="AM197" s="1650"/>
      <c r="AO197" s="1169"/>
      <c r="AP197" s="1645"/>
      <c r="AQ197" s="1645"/>
      <c r="AR197" s="1169"/>
      <c r="AS197" s="1169"/>
      <c r="AT197" s="1169"/>
      <c r="AU197" s="1169"/>
      <c r="AV197" s="1645"/>
      <c r="AW197" s="1169"/>
      <c r="AX197" s="1169"/>
      <c r="AY197" s="553"/>
      <c r="AZ197" s="1169"/>
      <c r="BA197" s="1169"/>
      <c r="BB197" s="1169"/>
      <c r="BC197" s="1169"/>
      <c r="BD197" s="1169"/>
      <c r="BE197" s="1641"/>
      <c r="BF197" s="575"/>
      <c r="BG197" s="575"/>
      <c r="BH197" s="575"/>
      <c r="BI197" s="575"/>
      <c r="BJ197" s="1650">
        <v>11</v>
      </c>
    </row>
    <row s="1650" customFormat="1" customHeight="1" ht="11.549999999999999">
      <c r="A198" s="996"/>
      <c r="B198" s="1645"/>
      <c r="C198" s="1645"/>
      <c r="D198" s="360"/>
      <c r="J198" s="1650"/>
      <c r="K198" s="1650"/>
      <c r="L198" s="1650"/>
      <c r="M198" s="1650"/>
      <c r="N198" s="1650"/>
      <c r="O198" s="1650"/>
      <c r="P198" s="1650"/>
      <c r="Q198" s="1650"/>
      <c r="R198" s="1650"/>
      <c r="S198" s="1650"/>
      <c r="T198" s="1650"/>
      <c r="U198" s="1650"/>
      <c r="V198" s="1650"/>
      <c r="W198" s="1650"/>
      <c r="X198" s="1650"/>
      <c r="Y198" s="1650"/>
      <c r="Z198" s="1650"/>
      <c r="AA198" s="1650"/>
      <c r="AB198" s="1650"/>
      <c r="AC198" s="1650"/>
      <c r="AD198" s="1650"/>
      <c r="AE198" s="1650"/>
      <c r="AF198" s="1650"/>
      <c r="AG198" s="1650"/>
      <c r="AH198" s="1650"/>
      <c r="AI198" s="1650"/>
      <c r="AJ198" s="1650"/>
      <c r="AK198" s="1650"/>
      <c r="AL198" s="1650"/>
      <c r="AM198" s="1650"/>
      <c r="AO198" s="1169"/>
      <c r="AP198" s="1645"/>
      <c r="AQ198" s="1645"/>
      <c r="AR198" s="1169"/>
      <c r="AS198" s="1169"/>
      <c r="AT198" s="1169"/>
      <c r="AU198" s="1169"/>
      <c r="AV198" s="1645"/>
      <c r="AW198" s="1169"/>
      <c r="AX198" s="1169"/>
      <c r="AY198" s="553"/>
      <c r="AZ198" s="1169"/>
      <c r="BA198" s="1169"/>
      <c r="BB198" s="1169"/>
      <c r="BC198" s="1169"/>
      <c r="BD198" s="1169"/>
      <c r="BE198" s="1641"/>
      <c r="BF198" s="575"/>
      <c r="BG198" s="575"/>
      <c r="BH198" s="575"/>
      <c r="BI198" s="575"/>
      <c r="BJ198" s="1650">
        <v>11</v>
      </c>
    </row>
    <row s="1650" customFormat="1" customHeight="1" ht="11.549999999999999">
      <c r="A199" s="996"/>
      <c r="B199" s="1645"/>
      <c r="C199" s="1645"/>
      <c r="D199" s="36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1650"/>
      <c r="AD199" s="1650"/>
      <c r="AE199" s="1650"/>
      <c r="AF199" s="1650"/>
      <c r="AG199" s="1650"/>
      <c r="AH199" s="1650"/>
      <c r="AI199" s="1650"/>
      <c r="AJ199" s="1650"/>
      <c r="AK199" s="1650"/>
      <c r="AL199" s="1650"/>
      <c r="AM199" s="1650"/>
      <c r="AO199" s="1169"/>
      <c r="AP199" s="1645"/>
      <c r="AQ199" s="1645"/>
      <c r="AR199" s="1169"/>
      <c r="AS199" s="1169"/>
      <c r="AT199" s="1169"/>
      <c r="AU199" s="1169"/>
      <c r="AV199" s="1645"/>
      <c r="AW199" s="1169"/>
      <c r="AX199" s="1169"/>
      <c r="AY199" s="553"/>
      <c r="AZ199" s="1169"/>
      <c r="BA199" s="1169"/>
      <c r="BB199" s="1169"/>
      <c r="BC199" s="1169"/>
      <c r="BD199" s="1169"/>
      <c r="BE199" s="1641"/>
      <c r="BF199" s="575"/>
      <c r="BG199" s="575"/>
      <c r="BH199" s="575"/>
      <c r="BI199" s="575"/>
      <c r="BJ199" s="1650">
        <v>11</v>
      </c>
    </row>
    <row s="1650" customFormat="1" customHeight="1" ht="11.549999999999999">
      <c r="A200" s="996"/>
      <c r="B200" s="1645"/>
      <c r="C200" s="1645"/>
      <c r="D200" s="360"/>
      <c r="J200" s="1650"/>
      <c r="K200" s="1650"/>
      <c r="L200" s="1650"/>
      <c r="M200" s="1650"/>
      <c r="N200" s="1650"/>
      <c r="O200" s="1650"/>
      <c r="P200" s="1650"/>
      <c r="Q200" s="1650"/>
      <c r="R200" s="1650"/>
      <c r="S200" s="1650"/>
      <c r="T200" s="1650"/>
      <c r="U200" s="1650"/>
      <c r="V200" s="1650"/>
      <c r="W200" s="1650"/>
      <c r="X200" s="1650"/>
      <c r="Y200" s="1650"/>
      <c r="Z200" s="1650"/>
      <c r="AA200" s="1650"/>
      <c r="AB200" s="1650"/>
      <c r="AC200" s="1650"/>
      <c r="AD200" s="1650"/>
      <c r="AE200" s="1650"/>
      <c r="AF200" s="1650"/>
      <c r="AG200" s="1650"/>
      <c r="AH200" s="1650"/>
      <c r="AI200" s="1650"/>
      <c r="AJ200" s="1650"/>
      <c r="AK200" s="1650"/>
      <c r="AL200" s="1650"/>
      <c r="AM200" s="1650"/>
      <c r="AO200" s="1169"/>
      <c r="AP200" s="1645"/>
      <c r="AQ200" s="1645"/>
      <c r="AR200" s="1169"/>
      <c r="AS200" s="1169"/>
      <c r="AT200" s="1169"/>
      <c r="AU200" s="1169"/>
      <c r="AV200" s="1645"/>
      <c r="AW200" s="1169"/>
      <c r="AX200" s="1169"/>
      <c r="AY200" s="553"/>
      <c r="AZ200" s="1169"/>
      <c r="BA200" s="1169"/>
      <c r="BB200" s="1169"/>
      <c r="BC200" s="1169"/>
      <c r="BD200" s="1169"/>
      <c r="BE200" s="1641"/>
      <c r="BF200" s="575"/>
      <c r="BG200" s="575"/>
      <c r="BH200" s="575"/>
      <c r="BI200" s="575"/>
      <c r="BJ200" s="1650">
        <v>11</v>
      </c>
    </row>
    <row s="1650" customFormat="1" customHeight="1" ht="11.549999999999999">
      <c r="A201" s="996"/>
      <c r="B201" s="1645"/>
      <c r="C201" s="1645"/>
      <c r="D201" s="360"/>
      <c r="J201" s="1650"/>
      <c r="K201" s="1650"/>
      <c r="L201" s="1650"/>
      <c r="M201" s="1650"/>
      <c r="N201" s="1650"/>
      <c r="O201" s="1650"/>
      <c r="P201" s="1650"/>
      <c r="Q201" s="1650"/>
      <c r="R201" s="1650"/>
      <c r="S201" s="1650"/>
      <c r="T201" s="1650"/>
      <c r="U201" s="1650"/>
      <c r="V201" s="1650"/>
      <c r="W201" s="1650"/>
      <c r="X201" s="1650"/>
      <c r="Y201" s="1650"/>
      <c r="Z201" s="1650"/>
      <c r="AA201" s="1650"/>
      <c r="AB201" s="1650"/>
      <c r="AC201" s="1650"/>
      <c r="AD201" s="1650"/>
      <c r="AE201" s="1650"/>
      <c r="AF201" s="1650"/>
      <c r="AG201" s="1650"/>
      <c r="AH201" s="1650"/>
      <c r="AI201" s="1650"/>
      <c r="AJ201" s="1650"/>
      <c r="AK201" s="1650"/>
      <c r="AL201" s="1650"/>
      <c r="AM201" s="1650"/>
      <c r="AO201" s="1169"/>
      <c r="AP201" s="1645"/>
      <c r="AQ201" s="1645"/>
      <c r="AR201" s="1169"/>
      <c r="AS201" s="1169"/>
      <c r="AT201" s="1169"/>
      <c r="AU201" s="1169"/>
      <c r="AV201" s="1645"/>
      <c r="AW201" s="1169"/>
      <c r="AX201" s="1169"/>
      <c r="AY201" s="553"/>
      <c r="AZ201" s="1169"/>
      <c r="BA201" s="1169"/>
      <c r="BB201" s="1169"/>
      <c r="BC201" s="1169"/>
      <c r="BD201" s="1169"/>
      <c r="BE201" s="1641"/>
      <c r="BF201" s="575"/>
      <c r="BG201" s="575"/>
      <c r="BH201" s="575"/>
      <c r="BI201" s="575"/>
      <c r="BJ201" s="1650">
        <v>11</v>
      </c>
    </row>
    <row s="1650" customFormat="1" customHeight="1" ht="11.549999999999999">
      <c r="A202" s="996"/>
      <c r="B202" s="1645"/>
      <c r="C202" s="1645"/>
      <c r="D202" s="360"/>
      <c r="J202" s="1650"/>
      <c r="K202" s="1650"/>
      <c r="L202" s="1650"/>
      <c r="M202" s="1650"/>
      <c r="N202" s="1650"/>
      <c r="O202" s="1650"/>
      <c r="P202" s="1650"/>
      <c r="Q202" s="1650"/>
      <c r="R202" s="1650"/>
      <c r="S202" s="1650"/>
      <c r="T202" s="1650"/>
      <c r="U202" s="1650"/>
      <c r="V202" s="1650"/>
      <c r="W202" s="1650"/>
      <c r="X202" s="1650"/>
      <c r="Y202" s="1650"/>
      <c r="Z202" s="1650"/>
      <c r="AA202" s="1650"/>
      <c r="AB202" s="1650"/>
      <c r="AC202" s="1650"/>
      <c r="AD202" s="1650"/>
      <c r="AE202" s="1650"/>
      <c r="AF202" s="1650"/>
      <c r="AG202" s="1650"/>
      <c r="AH202" s="1650"/>
      <c r="AI202" s="1650"/>
      <c r="AJ202" s="1650"/>
      <c r="AK202" s="1650"/>
      <c r="AL202" s="1650"/>
      <c r="AM202" s="1650"/>
      <c r="AO202" s="1169"/>
      <c r="AP202" s="1645"/>
      <c r="AQ202" s="1645"/>
      <c r="AR202" s="1169"/>
      <c r="AS202" s="1169"/>
      <c r="AT202" s="1169"/>
      <c r="AU202" s="1169"/>
      <c r="AV202" s="1645"/>
      <c r="AW202" s="1169"/>
      <c r="AX202" s="1169"/>
      <c r="AY202" s="553"/>
      <c r="AZ202" s="1169"/>
      <c r="BA202" s="1169"/>
      <c r="BB202" s="1169"/>
      <c r="BC202" s="1169"/>
      <c r="BD202" s="1169"/>
      <c r="BE202" s="1641"/>
      <c r="BF202" s="575"/>
      <c r="BG202" s="575"/>
      <c r="BH202" s="575"/>
      <c r="BI202" s="575"/>
      <c r="BJ202" s="1650">
        <v>11</v>
      </c>
    </row>
    <row customHeight="1" ht="11.549999999999999">
      <c r="J203" s="1644"/>
      <c r="K203" s="1644"/>
      <c r="L203" s="1644"/>
      <c r="M203" s="1644"/>
      <c r="N203" s="1644"/>
      <c r="O203" s="1644"/>
      <c r="P203" s="1644"/>
      <c r="Q203" s="1644"/>
      <c r="R203" s="1644"/>
      <c r="S203" s="1644"/>
      <c r="T203" s="1644"/>
      <c r="U203" s="1644"/>
      <c r="V203" s="1644"/>
      <c r="W203" s="1644"/>
      <c r="X203" s="1644"/>
      <c r="Y203" s="1644"/>
      <c r="Z203" s="1644"/>
      <c r="AA203" s="1644"/>
      <c r="AB203" s="1644"/>
      <c r="AC203" s="1644"/>
      <c r="AD203" s="1644"/>
      <c r="AE203" s="1644"/>
      <c r="AF203" s="1644"/>
      <c r="AG203" s="1644"/>
      <c r="AH203" s="1644"/>
      <c r="AI203" s="1644"/>
      <c r="AJ203" s="1644"/>
      <c r="AK203" s="1644"/>
      <c r="AL203" s="1644"/>
      <c r="AM203" s="1644"/>
      <c r="BJ203" s="1640">
        <v>11</v>
      </c>
    </row>
    <row customHeight="1" ht="11.549999999999999">
      <c r="J204" s="1644"/>
      <c r="K204" s="1644"/>
      <c r="L204" s="1644"/>
      <c r="M204" s="1644"/>
      <c r="N204" s="1644"/>
      <c r="O204" s="1644"/>
      <c r="P204" s="1644"/>
      <c r="Q204" s="1644"/>
      <c r="R204" s="1644"/>
      <c r="S204" s="1644"/>
      <c r="T204" s="1644"/>
      <c r="U204" s="1644"/>
      <c r="V204" s="1644"/>
      <c r="W204" s="1644"/>
      <c r="X204" s="1644"/>
      <c r="Y204" s="1644"/>
      <c r="Z204" s="1644"/>
      <c r="AA204" s="1644"/>
      <c r="AB204" s="1644"/>
      <c r="AC204" s="1644"/>
      <c r="AD204" s="1644"/>
      <c r="AE204" s="1644"/>
      <c r="AF204" s="1644"/>
      <c r="AG204" s="1644"/>
      <c r="AH204" s="1644"/>
      <c r="AI204" s="1644"/>
      <c r="AJ204" s="1644"/>
      <c r="AK204" s="1644"/>
      <c r="AL204" s="1644"/>
      <c r="AM204" s="1644"/>
      <c r="BJ204" s="1640">
        <v>11</v>
      </c>
    </row>
    <row customHeight="1" ht="11.549999999999999">
      <c r="J205" s="1644"/>
      <c r="K205" s="1644"/>
      <c r="L205" s="1644"/>
      <c r="M205" s="1644"/>
      <c r="N205" s="1644"/>
      <c r="O205" s="1644"/>
      <c r="P205" s="1644"/>
      <c r="Q205" s="1644"/>
      <c r="R205" s="1644"/>
      <c r="S205" s="1644"/>
      <c r="T205" s="1644"/>
      <c r="U205" s="1644"/>
      <c r="V205" s="1644"/>
      <c r="W205" s="1644"/>
      <c r="X205" s="1644"/>
      <c r="Y205" s="1644"/>
      <c r="Z205" s="1644"/>
      <c r="AA205" s="1644"/>
      <c r="AB205" s="1644"/>
      <c r="AC205" s="1644"/>
      <c r="AD205" s="1644"/>
      <c r="AE205" s="1644"/>
      <c r="AF205" s="1644"/>
      <c r="AG205" s="1644"/>
      <c r="AH205" s="1644"/>
      <c r="AI205" s="1644"/>
      <c r="AJ205" s="1644"/>
      <c r="AK205" s="1644"/>
      <c r="AL205" s="1644"/>
      <c r="AM205" s="1644"/>
      <c r="BJ205" s="1640">
        <v>11</v>
      </c>
    </row>
    <row customHeight="1" ht="11.549999999999999">
      <c r="A206" s="999"/>
      <c r="B206" s="1640"/>
      <c r="D206" s="1640"/>
      <c r="J206" s="1644"/>
      <c r="K206" s="1644"/>
      <c r="L206" s="1644"/>
      <c r="M206" s="1644"/>
      <c r="N206" s="1644"/>
      <c r="O206" s="1644"/>
      <c r="P206" s="1644"/>
      <c r="Q206" s="1644"/>
      <c r="R206" s="1644"/>
      <c r="S206" s="1644"/>
      <c r="T206" s="1644"/>
      <c r="U206" s="1644"/>
      <c r="V206" s="1644"/>
      <c r="W206" s="1644"/>
      <c r="X206" s="1644"/>
      <c r="Y206" s="1644"/>
      <c r="Z206" s="1644"/>
      <c r="AA206" s="1644"/>
      <c r="AB206" s="1644"/>
      <c r="AC206" s="1644"/>
      <c r="AD206" s="1644"/>
      <c r="AE206" s="1644"/>
      <c r="AF206" s="1644"/>
      <c r="AG206" s="1644"/>
      <c r="AH206" s="1644"/>
      <c r="AI206" s="1644"/>
      <c r="AJ206" s="1644"/>
      <c r="AK206" s="1644"/>
      <c r="AL206" s="1644"/>
      <c r="AM206" s="1644"/>
      <c r="AO206" s="1640"/>
      <c r="AR206" s="1640"/>
      <c r="AS206" s="1640"/>
      <c r="AT206" s="1640"/>
      <c r="AU206" s="1640"/>
      <c r="AW206" s="1640"/>
      <c r="AX206" s="1640"/>
      <c r="AY206" s="1640"/>
      <c r="AZ206" s="1640"/>
      <c r="BA206" s="1640"/>
      <c r="BB206" s="1640"/>
      <c r="BC206" s="1640"/>
      <c r="BD206" s="1640"/>
      <c r="BE206" s="1640"/>
      <c r="BF206" s="1640"/>
      <c r="BG206" s="1640"/>
      <c r="BH206" s="1640"/>
      <c r="BI206" s="1640"/>
      <c r="BJ206" s="1640">
        <v>11</v>
      </c>
    </row>
    <row customHeight="1" ht="11.549999999999999">
      <c r="A207" s="999"/>
      <c r="B207" s="1640"/>
      <c r="D207" s="1640"/>
      <c r="J207" s="1644"/>
      <c r="K207" s="1644"/>
      <c r="L207" s="1644"/>
      <c r="M207" s="1644"/>
      <c r="N207" s="1644"/>
      <c r="O207" s="1644"/>
      <c r="P207" s="1644"/>
      <c r="Q207" s="1644"/>
      <c r="R207" s="1644"/>
      <c r="S207" s="1644"/>
      <c r="T207" s="1644"/>
      <c r="U207" s="1644"/>
      <c r="V207" s="1644"/>
      <c r="W207" s="1644"/>
      <c r="X207" s="1644"/>
      <c r="Y207" s="1644"/>
      <c r="Z207" s="1644"/>
      <c r="AA207" s="1644"/>
      <c r="AB207" s="1644"/>
      <c r="AC207" s="1644"/>
      <c r="AD207" s="1644"/>
      <c r="AE207" s="1644"/>
      <c r="AF207" s="1644"/>
      <c r="AG207" s="1644"/>
      <c r="AH207" s="1644"/>
      <c r="AI207" s="1644"/>
      <c r="AJ207" s="1644"/>
      <c r="AK207" s="1644"/>
      <c r="AL207" s="1644"/>
      <c r="AM207" s="1644"/>
      <c r="AO207" s="1640"/>
      <c r="AR207" s="1640"/>
      <c r="AS207" s="1640"/>
      <c r="AT207" s="1640"/>
      <c r="AU207" s="1640"/>
      <c r="AW207" s="1640"/>
      <c r="AX207" s="1640"/>
      <c r="AY207" s="1640"/>
      <c r="AZ207" s="1640"/>
      <c r="BA207" s="1640"/>
      <c r="BB207" s="1640"/>
      <c r="BC207" s="1640"/>
      <c r="BD207" s="1640"/>
      <c r="BE207" s="1640"/>
      <c r="BF207" s="1640"/>
      <c r="BG207" s="1640"/>
      <c r="BH207" s="1640"/>
      <c r="BI207" s="1640"/>
      <c r="BJ207" s="1640">
        <v>11</v>
      </c>
    </row>
    <row customHeight="1" ht="11.549999999999999">
      <c r="A208" s="999"/>
      <c r="B208" s="1640"/>
      <c r="D208" s="1640"/>
      <c r="J208" s="1644"/>
      <c r="K208" s="1644"/>
      <c r="L208" s="1644"/>
      <c r="M208" s="1644"/>
      <c r="N208" s="1644"/>
      <c r="O208" s="1644"/>
      <c r="P208" s="1644"/>
      <c r="Q208" s="1644"/>
      <c r="R208" s="1644"/>
      <c r="S208" s="1644"/>
      <c r="T208" s="1644"/>
      <c r="U208" s="1644"/>
      <c r="V208" s="1644"/>
      <c r="W208" s="1644"/>
      <c r="X208" s="1644"/>
      <c r="Y208" s="1644"/>
      <c r="Z208" s="1644"/>
      <c r="AA208" s="1644"/>
      <c r="AB208" s="1644"/>
      <c r="AC208" s="1644"/>
      <c r="AD208" s="1644"/>
      <c r="AE208" s="1644"/>
      <c r="AF208" s="1644"/>
      <c r="AG208" s="1644"/>
      <c r="AH208" s="1644"/>
      <c r="AI208" s="1644"/>
      <c r="AJ208" s="1644"/>
      <c r="AK208" s="1644"/>
      <c r="AL208" s="1644"/>
      <c r="AM208" s="1644"/>
      <c r="AO208" s="1640"/>
      <c r="AR208" s="1640"/>
      <c r="AS208" s="1640"/>
      <c r="AT208" s="1640"/>
      <c r="AU208" s="1640"/>
      <c r="AW208" s="1640"/>
      <c r="AX208" s="1640"/>
      <c r="AY208" s="1640"/>
      <c r="AZ208" s="1640"/>
      <c r="BA208" s="1640"/>
      <c r="BB208" s="1640"/>
      <c r="BC208" s="1640"/>
      <c r="BD208" s="1640"/>
      <c r="BE208" s="1640"/>
      <c r="BF208" s="1640"/>
      <c r="BG208" s="1640"/>
      <c r="BH208" s="1640"/>
      <c r="BI208" s="1640"/>
      <c r="BJ208" s="1640">
        <v>11</v>
      </c>
    </row>
    <row customHeight="1" ht="11.549999999999999">
      <c r="A209" s="999"/>
      <c r="B209" s="1640"/>
      <c r="D209" s="1640"/>
      <c r="J209" s="1644"/>
      <c r="K209" s="1644"/>
      <c r="L209" s="1644"/>
      <c r="M209" s="1644"/>
      <c r="N209" s="1644"/>
      <c r="O209" s="1644"/>
      <c r="P209" s="1644"/>
      <c r="Q209" s="1644"/>
      <c r="R209" s="1644"/>
      <c r="S209" s="1644"/>
      <c r="T209" s="1644"/>
      <c r="U209" s="1644"/>
      <c r="V209" s="1644"/>
      <c r="W209" s="1644"/>
      <c r="X209" s="1644"/>
      <c r="Y209" s="1644"/>
      <c r="Z209" s="1644"/>
      <c r="AA209" s="1644"/>
      <c r="AB209" s="1644"/>
      <c r="AC209" s="1644"/>
      <c r="AD209" s="1644"/>
      <c r="AE209" s="1644"/>
      <c r="AF209" s="1644"/>
      <c r="AG209" s="1644"/>
      <c r="AH209" s="1644"/>
      <c r="AI209" s="1644"/>
      <c r="AJ209" s="1644"/>
      <c r="AK209" s="1644"/>
      <c r="AL209" s="1644"/>
      <c r="AM209" s="1644"/>
      <c r="AO209" s="1640"/>
      <c r="AR209" s="1640"/>
      <c r="AS209" s="1640"/>
      <c r="AT209" s="1640"/>
      <c r="AU209" s="1640"/>
      <c r="AW209" s="1640"/>
      <c r="AX209" s="1640"/>
      <c r="AY209" s="1640"/>
      <c r="AZ209" s="1640"/>
      <c r="BA209" s="1640"/>
      <c r="BB209" s="1640"/>
      <c r="BC209" s="1640"/>
      <c r="BD209" s="1640"/>
      <c r="BE209" s="1640"/>
      <c r="BF209" s="1640"/>
      <c r="BG209" s="1640"/>
      <c r="BH209" s="1640"/>
      <c r="BI209" s="1640"/>
      <c r="BJ209" s="1640">
        <v>11</v>
      </c>
    </row>
    <row customHeight="1" ht="11.549999999999999">
      <c r="A210" s="999"/>
      <c r="B210" s="1640"/>
      <c r="D210" s="1640"/>
      <c r="J210" s="1644"/>
      <c r="K210" s="1644"/>
      <c r="L210" s="1644"/>
      <c r="M210" s="1644"/>
      <c r="N210" s="1644"/>
      <c r="O210" s="1644"/>
      <c r="P210" s="1644"/>
      <c r="Q210" s="1644"/>
      <c r="R210" s="1644"/>
      <c r="S210" s="1644"/>
      <c r="T210" s="1644"/>
      <c r="U210" s="1644"/>
      <c r="V210" s="1644"/>
      <c r="W210" s="1644"/>
      <c r="X210" s="1644"/>
      <c r="Y210" s="1644"/>
      <c r="Z210" s="1644"/>
      <c r="AA210" s="1644"/>
      <c r="AB210" s="1644"/>
      <c r="AC210" s="1644"/>
      <c r="AD210" s="1644"/>
      <c r="AE210" s="1644"/>
      <c r="AF210" s="1644"/>
      <c r="AG210" s="1644"/>
      <c r="AH210" s="1644"/>
      <c r="AI210" s="1644"/>
      <c r="AJ210" s="1644"/>
      <c r="AK210" s="1644"/>
      <c r="AL210" s="1644"/>
      <c r="AM210" s="1644"/>
      <c r="AO210" s="1640"/>
      <c r="AR210" s="1640"/>
      <c r="AS210" s="1640"/>
      <c r="AT210" s="1640"/>
      <c r="AU210" s="1640"/>
      <c r="AW210" s="1640"/>
      <c r="AX210" s="1640"/>
      <c r="AY210" s="1640"/>
      <c r="AZ210" s="1640"/>
      <c r="BA210" s="1640"/>
      <c r="BB210" s="1640"/>
      <c r="BC210" s="1640"/>
      <c r="BD210" s="1640"/>
      <c r="BE210" s="1640"/>
      <c r="BF210" s="1640"/>
      <c r="BG210" s="1640"/>
      <c r="BH210" s="1640"/>
      <c r="BI210" s="1640"/>
      <c r="BJ210" s="1640">
        <v>11</v>
      </c>
    </row>
    <row customHeight="1" ht="11.549999999999999">
      <c r="A211" s="999"/>
      <c r="B211" s="1640"/>
      <c r="D211" s="1640"/>
      <c r="J211" s="1644"/>
      <c r="K211" s="1644"/>
      <c r="L211" s="1644"/>
      <c r="M211" s="1644"/>
      <c r="N211" s="1644"/>
      <c r="O211" s="1644"/>
      <c r="P211" s="1644"/>
      <c r="Q211" s="1644"/>
      <c r="R211" s="1644"/>
      <c r="S211" s="1644"/>
      <c r="T211" s="1644"/>
      <c r="U211" s="1644"/>
      <c r="V211" s="1644"/>
      <c r="W211" s="1644"/>
      <c r="X211" s="1644"/>
      <c r="Y211" s="1644"/>
      <c r="Z211" s="1644"/>
      <c r="AA211" s="1644"/>
      <c r="AB211" s="1644"/>
      <c r="AC211" s="1644"/>
      <c r="AD211" s="1644"/>
      <c r="AE211" s="1644"/>
      <c r="AF211" s="1644"/>
      <c r="AG211" s="1644"/>
      <c r="AH211" s="1644"/>
      <c r="AI211" s="1644"/>
      <c r="AJ211" s="1644"/>
      <c r="AK211" s="1644"/>
      <c r="AL211" s="1644"/>
      <c r="AM211" s="1644"/>
      <c r="AO211" s="1640"/>
      <c r="AR211" s="1640"/>
      <c r="AS211" s="1640"/>
      <c r="AT211" s="1640"/>
      <c r="AU211" s="1640"/>
      <c r="AW211" s="1640"/>
      <c r="AX211" s="1640"/>
      <c r="AY211" s="1640"/>
      <c r="AZ211" s="1640"/>
      <c r="BA211" s="1640"/>
      <c r="BB211" s="1640"/>
      <c r="BC211" s="1640"/>
      <c r="BD211" s="1640"/>
      <c r="BE211" s="1640"/>
      <c r="BF211" s="1640"/>
      <c r="BG211" s="1640"/>
      <c r="BH211" s="1640"/>
      <c r="BI211" s="1640"/>
      <c r="BJ211" s="1640">
        <v>11</v>
      </c>
    </row>
    <row customHeight="1" ht="11.549999999999999">
      <c r="A212" s="999"/>
      <c r="B212" s="1640"/>
      <c r="D212" s="1640"/>
      <c r="J212" s="1644"/>
      <c r="K212" s="1644"/>
      <c r="L212" s="1644"/>
      <c r="M212" s="1644"/>
      <c r="N212" s="1644"/>
      <c r="O212" s="1644"/>
      <c r="P212" s="1644"/>
      <c r="Q212" s="1644"/>
      <c r="R212" s="1644"/>
      <c r="S212" s="1644"/>
      <c r="T212" s="1644"/>
      <c r="U212" s="1644"/>
      <c r="V212" s="1644"/>
      <c r="W212" s="1644"/>
      <c r="X212" s="1644"/>
      <c r="Y212" s="1644"/>
      <c r="Z212" s="1644"/>
      <c r="AA212" s="1644"/>
      <c r="AB212" s="1644"/>
      <c r="AC212" s="1644"/>
      <c r="AD212" s="1644"/>
      <c r="AE212" s="1644"/>
      <c r="AF212" s="1644"/>
      <c r="AG212" s="1644"/>
      <c r="AH212" s="1644"/>
      <c r="AI212" s="1644"/>
      <c r="AJ212" s="1644"/>
      <c r="AK212" s="1644"/>
      <c r="AL212" s="1644"/>
      <c r="AM212" s="1644"/>
      <c r="AO212" s="1640"/>
      <c r="AR212" s="1640"/>
      <c r="AS212" s="1640"/>
      <c r="AT212" s="1640"/>
      <c r="AU212" s="1640"/>
      <c r="AW212" s="1640"/>
      <c r="AX212" s="1640"/>
      <c r="AY212" s="1640"/>
      <c r="AZ212" s="1640"/>
      <c r="BA212" s="1640"/>
      <c r="BB212" s="1640"/>
      <c r="BC212" s="1640"/>
      <c r="BD212" s="1640"/>
      <c r="BE212" s="1640"/>
      <c r="BF212" s="1640"/>
      <c r="BG212" s="1640"/>
      <c r="BH212" s="1640"/>
      <c r="BI212" s="1640"/>
      <c r="BJ212" s="1640">
        <v>11</v>
      </c>
    </row>
    <row customHeight="1" ht="11.549999999999999">
      <c r="A213" s="999"/>
      <c r="B213" s="1640"/>
      <c r="D213" s="1640"/>
      <c r="J213" s="1644"/>
      <c r="K213" s="1644"/>
      <c r="L213" s="1644"/>
      <c r="M213" s="1644"/>
      <c r="N213" s="1644"/>
      <c r="O213" s="1644"/>
      <c r="P213" s="1644"/>
      <c r="Q213" s="1644"/>
      <c r="R213" s="1644"/>
      <c r="S213" s="1644"/>
      <c r="T213" s="1644"/>
      <c r="U213" s="1644"/>
      <c r="V213" s="1644"/>
      <c r="W213" s="1644"/>
      <c r="X213" s="1644"/>
      <c r="Y213" s="1644"/>
      <c r="Z213" s="1644"/>
      <c r="AA213" s="1644"/>
      <c r="AB213" s="1644"/>
      <c r="AC213" s="1644"/>
      <c r="AD213" s="1644"/>
      <c r="AE213" s="1644"/>
      <c r="AF213" s="1644"/>
      <c r="AG213" s="1644"/>
      <c r="AH213" s="1644"/>
      <c r="AI213" s="1644"/>
      <c r="AJ213" s="1644"/>
      <c r="AK213" s="1644"/>
      <c r="AL213" s="1644"/>
      <c r="AM213" s="1644"/>
      <c r="AO213" s="1640"/>
      <c r="AR213" s="1640"/>
      <c r="AS213" s="1640"/>
      <c r="AT213" s="1640"/>
      <c r="AU213" s="1640"/>
      <c r="AW213" s="1640"/>
      <c r="AX213" s="1640"/>
      <c r="AY213" s="1640"/>
      <c r="AZ213" s="1640"/>
      <c r="BA213" s="1640"/>
      <c r="BB213" s="1640"/>
      <c r="BC213" s="1640"/>
      <c r="BD213" s="1640"/>
      <c r="BE213" s="1640"/>
      <c r="BF213" s="1640"/>
      <c r="BG213" s="1640"/>
      <c r="BH213" s="1640"/>
      <c r="BI213" s="1640"/>
      <c r="BJ213" s="1640">
        <v>11</v>
      </c>
    </row>
    <row customHeight="1" ht="11.549999999999999">
      <c r="A214" s="999"/>
      <c r="B214" s="1640"/>
      <c r="D214" s="1640"/>
      <c r="J214" s="1644"/>
      <c r="K214" s="1644"/>
      <c r="L214" s="1644"/>
      <c r="M214" s="1644"/>
      <c r="N214" s="1644"/>
      <c r="O214" s="1644"/>
      <c r="P214" s="1644"/>
      <c r="Q214" s="1644"/>
      <c r="R214" s="1644"/>
      <c r="S214" s="1644"/>
      <c r="T214" s="1644"/>
      <c r="U214" s="1644"/>
      <c r="V214" s="1644"/>
      <c r="W214" s="1644"/>
      <c r="X214" s="1644"/>
      <c r="Y214" s="1644"/>
      <c r="Z214" s="1644"/>
      <c r="AA214" s="1644"/>
      <c r="AB214" s="1644"/>
      <c r="AC214" s="1644"/>
      <c r="AD214" s="1644"/>
      <c r="AE214" s="1644"/>
      <c r="AF214" s="1644"/>
      <c r="AG214" s="1644"/>
      <c r="AH214" s="1644"/>
      <c r="AI214" s="1644"/>
      <c r="AJ214" s="1644"/>
      <c r="AK214" s="1644"/>
      <c r="AL214" s="1644"/>
      <c r="AM214" s="1644"/>
      <c r="AO214" s="1640"/>
      <c r="AR214" s="1640"/>
      <c r="AS214" s="1640"/>
      <c r="AT214" s="1640"/>
      <c r="AU214" s="1640"/>
      <c r="AW214" s="1640"/>
      <c r="AX214" s="1640"/>
      <c r="AY214" s="1640"/>
      <c r="AZ214" s="1640"/>
      <c r="BA214" s="1640"/>
      <c r="BB214" s="1640"/>
      <c r="BC214" s="1640"/>
      <c r="BD214" s="1640"/>
      <c r="BE214" s="1640"/>
      <c r="BF214" s="1640"/>
      <c r="BG214" s="1640"/>
      <c r="BH214" s="1640"/>
      <c r="BI214" s="1640"/>
      <c r="BJ214" s="1640">
        <v>11</v>
      </c>
    </row>
    <row customHeight="1" ht="11.549999999999999">
      <c r="A215" s="999"/>
      <c r="B215" s="1640"/>
      <c r="D215" s="1640"/>
      <c r="J215" s="1644"/>
      <c r="K215" s="1644"/>
      <c r="L215" s="1644"/>
      <c r="M215" s="1644"/>
      <c r="N215" s="1644"/>
      <c r="O215" s="1644"/>
      <c r="P215" s="1644"/>
      <c r="Q215" s="1644"/>
      <c r="R215" s="1644"/>
      <c r="S215" s="1644"/>
      <c r="T215" s="1644"/>
      <c r="U215" s="1644"/>
      <c r="V215" s="1644"/>
      <c r="W215" s="1644"/>
      <c r="X215" s="1644"/>
      <c r="Y215" s="1644"/>
      <c r="Z215" s="1644"/>
      <c r="AA215" s="1644"/>
      <c r="AB215" s="1644"/>
      <c r="AC215" s="1644"/>
      <c r="AD215" s="1644"/>
      <c r="AE215" s="1644"/>
      <c r="AF215" s="1644"/>
      <c r="AG215" s="1644"/>
      <c r="AH215" s="1644"/>
      <c r="AI215" s="1644"/>
      <c r="AJ215" s="1644"/>
      <c r="AK215" s="1644"/>
      <c r="AL215" s="1644"/>
      <c r="AM215" s="1644"/>
      <c r="AO215" s="1640"/>
      <c r="AR215" s="1640"/>
      <c r="AS215" s="1640"/>
      <c r="AT215" s="1640"/>
      <c r="AU215" s="1640"/>
      <c r="AW215" s="1640"/>
      <c r="AX215" s="1640"/>
      <c r="AY215" s="1640"/>
      <c r="AZ215" s="1640"/>
      <c r="BA215" s="1640"/>
      <c r="BB215" s="1640"/>
      <c r="BC215" s="1640"/>
      <c r="BD215" s="1640"/>
      <c r="BE215" s="1640"/>
      <c r="BF215" s="1640"/>
      <c r="BG215" s="1640"/>
      <c r="BH215" s="1640"/>
      <c r="BI215" s="1640"/>
      <c r="BJ215" s="1640">
        <v>11</v>
      </c>
    </row>
    <row customHeight="1" ht="11.549999999999999">
      <c r="A216" s="999"/>
      <c r="B216" s="1640"/>
      <c r="D216" s="1640"/>
      <c r="J216" s="1644"/>
      <c r="K216" s="1644"/>
      <c r="L216" s="1644"/>
      <c r="M216" s="1644"/>
      <c r="N216" s="1644"/>
      <c r="O216" s="1644"/>
      <c r="P216" s="1644"/>
      <c r="Q216" s="1644"/>
      <c r="R216" s="1644"/>
      <c r="S216" s="1644"/>
      <c r="T216" s="1644"/>
      <c r="U216" s="1644"/>
      <c r="V216" s="1644"/>
      <c r="W216" s="1644"/>
      <c r="X216" s="1644"/>
      <c r="Y216" s="1644"/>
      <c r="Z216" s="1644"/>
      <c r="AA216" s="1644"/>
      <c r="AB216" s="1644"/>
      <c r="AC216" s="1644"/>
      <c r="AD216" s="1644"/>
      <c r="AE216" s="1644"/>
      <c r="AF216" s="1644"/>
      <c r="AG216" s="1644"/>
      <c r="AH216" s="1644"/>
      <c r="AI216" s="1644"/>
      <c r="AJ216" s="1644"/>
      <c r="AK216" s="1644"/>
      <c r="AL216" s="1644"/>
      <c r="AM216" s="1644"/>
      <c r="AO216" s="1640"/>
      <c r="AR216" s="1640"/>
      <c r="AS216" s="1640"/>
      <c r="AT216" s="1640"/>
      <c r="AU216" s="1640"/>
      <c r="AW216" s="1640"/>
      <c r="AX216" s="1640"/>
      <c r="AY216" s="1640"/>
      <c r="AZ216" s="1640"/>
      <c r="BA216" s="1640"/>
      <c r="BB216" s="1640"/>
      <c r="BC216" s="1640"/>
      <c r="BD216" s="1640"/>
      <c r="BE216" s="1640"/>
      <c r="BF216" s="1640"/>
      <c r="BG216" s="1640"/>
      <c r="BH216" s="1640"/>
      <c r="BI216" s="1640"/>
      <c r="BJ216" s="1640">
        <v>11</v>
      </c>
    </row>
    <row customHeight="1" ht="11.25" hidden="1">
      <c r="A217" s="996" t="s">
        <v>82</v>
      </c>
      <c r="B217" s="1169">
        <v>0</v>
      </c>
      <c r="C217" s="1645">
        <v>0</v>
      </c>
      <c r="D217" s="1644">
        <v>3</v>
      </c>
      <c r="E217" s="1640">
        <v>7</v>
      </c>
      <c r="F217" s="1640">
        <v>56</v>
      </c>
      <c r="G217" s="1640">
        <v>10</v>
      </c>
      <c r="H217" s="1640">
        <v>0</v>
      </c>
      <c r="I217" s="1640">
        <v>40</v>
      </c>
      <c r="J217" s="1644">
        <v>0</v>
      </c>
      <c r="K217" s="1644">
        <v>0</v>
      </c>
      <c r="L217" s="1644">
        <v>0</v>
      </c>
      <c r="M217" s="1644">
        <v>0</v>
      </c>
      <c r="N217" s="1644">
        <v>0</v>
      </c>
      <c r="O217" s="1644">
        <v>0</v>
      </c>
      <c r="P217" s="1644">
        <v>0</v>
      </c>
      <c r="Q217" s="1644">
        <v>0</v>
      </c>
      <c r="R217" s="1644">
        <v>0</v>
      </c>
      <c r="S217" s="1644">
        <v>0</v>
      </c>
      <c r="T217" s="1644">
        <v>0</v>
      </c>
      <c r="U217" s="1644">
        <v>0</v>
      </c>
      <c r="V217" s="1644">
        <v>0</v>
      </c>
      <c r="W217" s="1644">
        <v>0</v>
      </c>
      <c r="X217" s="1644">
        <v>0</v>
      </c>
      <c r="Y217" s="1644">
        <v>0</v>
      </c>
      <c r="Z217" s="1644">
        <v>0</v>
      </c>
      <c r="AA217" s="1644">
        <v>0</v>
      </c>
      <c r="AB217" s="1644">
        <v>0</v>
      </c>
      <c r="AC217" s="1644">
        <v>0</v>
      </c>
      <c r="AD217" s="1644">
        <v>0</v>
      </c>
      <c r="AE217" s="1644">
        <v>0</v>
      </c>
      <c r="AF217" s="1644">
        <v>0</v>
      </c>
      <c r="AG217" s="1644">
        <v>0</v>
      </c>
      <c r="AH217" s="1644">
        <v>0</v>
      </c>
      <c r="AI217" s="1644">
        <v>0</v>
      </c>
      <c r="AJ217" s="1644">
        <v>0</v>
      </c>
      <c r="AK217" s="1644">
        <v>0</v>
      </c>
      <c r="AL217" s="1644">
        <v>0</v>
      </c>
      <c r="AM217" s="1644">
        <v>0</v>
      </c>
      <c r="AN217" s="1640">
        <v>102</v>
      </c>
      <c r="AO217" s="1169">
        <v>9</v>
      </c>
      <c r="AP217" s="1645">
        <v>5</v>
      </c>
      <c r="AQ217" s="1645">
        <v>3</v>
      </c>
      <c r="AR217" s="1169">
        <v>3</v>
      </c>
      <c r="AS217" s="1169">
        <v>3</v>
      </c>
      <c r="AT217" s="1169">
        <v>3</v>
      </c>
      <c r="AU217" s="1169">
        <v>3</v>
      </c>
      <c r="AV217" s="1645">
        <v>10</v>
      </c>
      <c r="AW217" s="1169">
        <v>34</v>
      </c>
      <c r="AX217" s="1169">
        <v>9</v>
      </c>
      <c r="AY217" s="553">
        <v>8</v>
      </c>
      <c r="AZ217" s="1169">
        <v>8</v>
      </c>
      <c r="BA217" s="1169">
        <v>8</v>
      </c>
      <c r="BB217" s="1169">
        <v>8</v>
      </c>
      <c r="BC217" s="1169">
        <v>8</v>
      </c>
      <c r="BD217" s="1169">
        <v>8</v>
      </c>
      <c r="BE217" s="1641">
        <v>8</v>
      </c>
      <c r="BF217" s="1641">
        <v>8</v>
      </c>
      <c r="BG217" s="1641">
        <v>8</v>
      </c>
      <c r="BH217" s="1641">
        <v>8</v>
      </c>
      <c r="BI217" s="1641">
        <v>8</v>
      </c>
      <c r="BJ217" s="1640">
        <v>11</v>
      </c>
    </row>
  </sheetData>
  <sheetProtection formatColumns="0" formatRows="0" autoFilter="0" sort="0" insertRows="0" insertColumns="1" deleteRows="0" deleteColumns="0"/>
  <mergeCells count="7">
    <mergeCell ref="E6:I6"/>
    <mergeCell ref="E7:I7"/>
    <mergeCell ref="F10:G10"/>
    <mergeCell ref="AN10:AN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AM33">
      <formula1>900</formula1>
    </dataValidation>
    <dataValidation type="decimal" allowBlank="1" showErrorMessage="1" errorTitle="Ошибка" error="Допускается ввод только неотрицательных чисел!" sqref="H38:AM39 H2:AM2 H15:AM15 H17:AM32 H35:AM35 H44:AM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AM43">
      <formula1>900</formula1>
    </dataValidation>
    <dataValidation type="decimal" allowBlank="1" showErrorMessage="1" errorTitle="Ошибка" error="Допускается ввод только действительных чисел!" sqref="H36:AM37">
      <formula1>-9.99999999999999E+23</formula1>
      <formula2>9.99999999999999E+23</formula2>
    </dataValidation>
    <dataValidation type="decimal" allowBlank="1" showErrorMessage="1" errorTitle="Ошибка" error="Допускается ввод только действительных чисел!" sqref="H40:AM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A9105-135F-5B15-1CC2-0.49A1B375}" mc:Ignorable="x14ac xr xr2 xr3">
  <sheetPr>
    <tabColor theme="9" tint="-0.25"/>
  </sheetPr>
  <dimension ref="A1:BJ210"/>
  <sheetViews>
    <sheetView topLeftCell="A1" showGridLines="0" zoomScale="90" workbookViewId="0">
      <selection activeCell="AN9" sqref="AN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39" style="1644" width="40.7109375" customWidth="1"/>
    <col min="40" max="40" style="1644" width="102.00390625" customWidth="1"/>
    <col min="41" max="41" style="1375" width="9.00390625" customWidth="1"/>
    <col min="42" max="42" style="1651" width="5.00390625" customWidth="1"/>
    <col min="43" max="43" style="1651" width="3.00390625" customWidth="1"/>
    <col min="44" max="47" style="1375" width="3.00390625" customWidth="1"/>
    <col min="48" max="48" style="1651" width="10.00390625" customWidth="1"/>
    <col min="49" max="49" style="1375" width="34.00390625" customWidth="1"/>
    <col min="50" max="50" style="1375" width="9.00390625" customWidth="1"/>
    <col min="51" max="51" style="745" width="8.00390625" customWidth="1"/>
    <col min="52" max="56" style="1375" width="8.00390625" customWidth="1"/>
    <col min="57" max="61" style="1641" width="8.00390625" customWidth="1"/>
    <col min="62" max="62" style="1644" width="9.140625" hidden="1"/>
  </cols>
  <sheetData>
    <row s="1375" customFormat="1" customHeight="1" ht="22.5" hidden="1">
      <c r="A1" s="996"/>
      <c r="C1" s="1645"/>
      <c r="D1" s="546"/>
      <c r="H1" s="1169">
        <v>4</v>
      </c>
      <c r="I1" s="1169">
        <v>4</v>
      </c>
      <c r="J1" s="1375">
        <v>4</v>
      </c>
      <c r="K1" s="1375">
        <v>4</v>
      </c>
      <c r="L1" s="1375">
        <v>4</v>
      </c>
      <c r="M1" s="1375">
        <v>4</v>
      </c>
      <c r="N1" s="1375">
        <v>4</v>
      </c>
      <c r="O1" s="1375">
        <v>4</v>
      </c>
      <c r="P1" s="1375">
        <v>4</v>
      </c>
      <c r="Q1" s="1375">
        <v>4</v>
      </c>
      <c r="R1" s="1375">
        <v>4</v>
      </c>
      <c r="S1" s="1375">
        <v>4</v>
      </c>
      <c r="T1" s="1375">
        <v>4</v>
      </c>
      <c r="U1" s="1375">
        <v>4</v>
      </c>
      <c r="V1" s="1375">
        <v>4</v>
      </c>
      <c r="W1" s="1375">
        <v>4</v>
      </c>
      <c r="X1" s="1375">
        <v>4</v>
      </c>
      <c r="Y1" s="1375">
        <v>4</v>
      </c>
      <c r="Z1" s="1375">
        <v>4</v>
      </c>
      <c r="AA1" s="1375">
        <v>4</v>
      </c>
      <c r="AB1" s="1375">
        <v>4</v>
      </c>
      <c r="AC1" s="1375">
        <v>4</v>
      </c>
      <c r="AD1" s="1375">
        <v>4</v>
      </c>
      <c r="AE1" s="1375">
        <v>4</v>
      </c>
      <c r="AF1" s="1375">
        <v>4</v>
      </c>
      <c r="AG1" s="1375">
        <v>4</v>
      </c>
      <c r="AH1" s="1375">
        <v>4</v>
      </c>
      <c r="AI1" s="1375">
        <v>4</v>
      </c>
      <c r="AJ1" s="1375">
        <v>4</v>
      </c>
      <c r="AK1" s="1375">
        <v>4</v>
      </c>
      <c r="AL1" s="1375">
        <v>4</v>
      </c>
      <c r="AM1" s="1375">
        <v>4</v>
      </c>
      <c r="AP1" s="1645"/>
      <c r="AQ1" s="1645"/>
      <c r="AV1" s="1645"/>
      <c r="BJ1" s="1169" t="s">
        <v>14</v>
      </c>
    </row>
    <row s="1375" customFormat="1" customHeight="1" ht="22.5" hidden="1">
      <c r="A2" s="996"/>
      <c r="C2" s="1645"/>
      <c r="D2" s="547"/>
      <c r="E2" s="1667"/>
      <c r="F2" s="549"/>
      <c r="G2" s="1666" t="s">
        <v>625</v>
      </c>
      <c r="H2" s="550"/>
      <c r="I2" s="550"/>
      <c r="J2" s="760"/>
      <c r="K2" s="760"/>
      <c r="L2" s="760"/>
      <c r="M2" s="760"/>
      <c r="N2" s="760"/>
      <c r="O2" s="760"/>
      <c r="P2" s="760"/>
      <c r="Q2" s="760"/>
      <c r="R2" s="760"/>
      <c r="S2" s="760"/>
      <c r="T2" s="760"/>
      <c r="U2" s="760"/>
      <c r="V2" s="760"/>
      <c r="W2" s="760"/>
      <c r="X2" s="760"/>
      <c r="Y2" s="760"/>
      <c r="Z2" s="760"/>
      <c r="AA2" s="760"/>
      <c r="AB2" s="760"/>
      <c r="AC2" s="760"/>
      <c r="AD2" s="760"/>
      <c r="AE2" s="760"/>
      <c r="AF2" s="760"/>
      <c r="AG2" s="760"/>
      <c r="AH2" s="760"/>
      <c r="AI2" s="760"/>
      <c r="AJ2" s="760"/>
      <c r="AK2" s="760"/>
      <c r="AL2" s="760"/>
      <c r="AM2" s="760"/>
      <c r="AN2" s="551" t="s">
        <v>628</v>
      </c>
      <c r="AO2" s="552"/>
      <c r="AP2" s="1645"/>
      <c r="AQ2" s="1645"/>
      <c r="AV2" s="1645"/>
      <c r="AY2" s="553"/>
      <c r="BE2" s="1641"/>
      <c r="BF2" s="1641"/>
      <c r="BG2" s="1641"/>
      <c r="BH2" s="1641"/>
      <c r="BI2" s="1641"/>
      <c r="BJ2" s="1169">
        <v>0</v>
      </c>
    </row>
    <row customHeight="1" ht="11.25" hidden="1">
      <c r="J3" s="1644"/>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M3" s="1644"/>
      <c r="BJ3" s="1640">
        <v>0</v>
      </c>
    </row>
    <row s="1641" customFormat="1" customHeight="1" ht="11.25" hidden="1">
      <c r="A4" s="996"/>
      <c r="B4" s="1169"/>
      <c r="C4" s="1645"/>
      <c r="D4" s="371"/>
      <c r="J4" s="1641"/>
      <c r="K4" s="1641"/>
      <c r="L4" s="1641"/>
      <c r="M4" s="1641"/>
      <c r="N4" s="1641"/>
      <c r="O4" s="1641"/>
      <c r="P4" s="1641"/>
      <c r="Q4" s="1641"/>
      <c r="R4" s="1641"/>
      <c r="S4" s="1641"/>
      <c r="T4" s="1641"/>
      <c r="U4" s="1641"/>
      <c r="V4" s="1641"/>
      <c r="W4" s="1641"/>
      <c r="X4" s="1641"/>
      <c r="Y4" s="1641"/>
      <c r="Z4" s="1641"/>
      <c r="AA4" s="1641"/>
      <c r="AB4" s="1641"/>
      <c r="AC4" s="1641"/>
      <c r="AD4" s="1641"/>
      <c r="AE4" s="1641"/>
      <c r="AF4" s="1641"/>
      <c r="AG4" s="1641"/>
      <c r="AH4" s="1641"/>
      <c r="AI4" s="1641"/>
      <c r="AJ4" s="1641"/>
      <c r="AK4" s="1641"/>
      <c r="AL4" s="1641"/>
      <c r="AM4" s="1641"/>
      <c r="AN4" s="1641">
        <v>4</v>
      </c>
      <c r="AO4" s="1169"/>
      <c r="AP4" s="1645"/>
      <c r="AQ4" s="1645"/>
      <c r="AR4" s="1169"/>
      <c r="AS4" s="1169"/>
      <c r="AT4" s="1169"/>
      <c r="AU4" s="1169"/>
      <c r="AV4" s="1645"/>
      <c r="AW4" s="1169"/>
      <c r="AX4" s="1169"/>
      <c r="AY4" s="553"/>
      <c r="AZ4" s="1169"/>
      <c r="BA4" s="1169"/>
      <c r="BB4" s="1169"/>
      <c r="BC4" s="1169"/>
      <c r="BD4" s="1169"/>
      <c r="BJ4" s="1641">
        <v>0</v>
      </c>
    </row>
    <row customHeight="1" ht="11.549999999999999">
      <c r="J5" s="1644"/>
      <c r="K5" s="1644"/>
      <c r="L5" s="1644"/>
      <c r="M5" s="1644"/>
      <c r="N5" s="1644"/>
      <c r="O5" s="1644"/>
      <c r="P5" s="1644"/>
      <c r="Q5" s="1644"/>
      <c r="R5" s="1644"/>
      <c r="S5" s="1644"/>
      <c r="T5" s="1644"/>
      <c r="U5" s="1644"/>
      <c r="V5" s="1644"/>
      <c r="W5" s="1644"/>
      <c r="X5" s="1644"/>
      <c r="Y5" s="1644"/>
      <c r="Z5" s="1644"/>
      <c r="AA5" s="1644"/>
      <c r="AB5" s="1644"/>
      <c r="AC5" s="1644"/>
      <c r="AD5" s="1644"/>
      <c r="AE5" s="1644"/>
      <c r="AF5" s="1644"/>
      <c r="AG5" s="1644"/>
      <c r="AH5" s="1644"/>
      <c r="AI5" s="1644"/>
      <c r="AJ5" s="1644"/>
      <c r="AK5" s="1644"/>
      <c r="AL5" s="1644"/>
      <c r="AM5" s="1644"/>
      <c r="BJ5" s="1640">
        <v>11</v>
      </c>
    </row>
    <row customHeight="1" ht="33.75">
      <c r="E6" s="2257" t="s">
        <v>877</v>
      </c>
      <c r="F6" s="2257"/>
      <c r="G6" s="2257"/>
      <c r="H6" s="2257"/>
      <c r="I6" s="2257"/>
      <c r="J6" s="2257"/>
      <c r="K6" s="2257"/>
      <c r="L6" s="2257"/>
      <c r="M6" s="2257"/>
      <c r="N6" s="2257"/>
      <c r="O6" s="2257"/>
      <c r="P6" s="2257"/>
      <c r="Q6" s="2257"/>
      <c r="R6" s="2257"/>
      <c r="S6" s="2257"/>
      <c r="T6" s="2257"/>
      <c r="U6" s="2257"/>
      <c r="V6" s="2257"/>
      <c r="W6" s="2257"/>
      <c r="X6" s="2257"/>
      <c r="Y6" s="2257"/>
      <c r="Z6" s="2257"/>
      <c r="AA6" s="2257"/>
      <c r="AB6" s="2257"/>
      <c r="AC6" s="2257"/>
      <c r="AD6" s="2257"/>
      <c r="AE6" s="2257"/>
      <c r="AF6" s="2257"/>
      <c r="AG6" s="2257"/>
      <c r="AH6" s="2257"/>
      <c r="AI6" s="2257"/>
      <c r="AJ6" s="2257"/>
      <c r="AK6" s="2257"/>
      <c r="AL6" s="2257"/>
      <c r="AM6" s="2257"/>
      <c r="AN6" s="565"/>
      <c r="BJ6" s="1640">
        <v>32</v>
      </c>
    </row>
    <row customHeight="1" ht="25.2">
      <c r="E7" s="2258" t="str">
        <f>IF(org=0,"Не определено",org)</f>
        <v>ООО "СамРЭК-Тепло Жигулевск"</v>
      </c>
      <c r="F7" s="2258"/>
      <c r="G7" s="2258"/>
      <c r="H7" s="2258"/>
      <c r="I7" s="2258"/>
      <c r="J7" s="2258"/>
      <c r="K7" s="2258"/>
      <c r="L7" s="2258"/>
      <c r="M7" s="2258"/>
      <c r="N7" s="2258"/>
      <c r="O7" s="2258"/>
      <c r="P7" s="2258"/>
      <c r="Q7" s="2258"/>
      <c r="R7" s="2258"/>
      <c r="S7" s="2258"/>
      <c r="T7" s="2258"/>
      <c r="U7" s="2258"/>
      <c r="V7" s="2258"/>
      <c r="W7" s="2258"/>
      <c r="X7" s="2258"/>
      <c r="Y7" s="2258"/>
      <c r="Z7" s="2258"/>
      <c r="AA7" s="2258"/>
      <c r="AB7" s="2258"/>
      <c r="AC7" s="2258"/>
      <c r="AD7" s="2258"/>
      <c r="AE7" s="2258"/>
      <c r="AF7" s="2258"/>
      <c r="AG7" s="2258"/>
      <c r="AH7" s="2258"/>
      <c r="AI7" s="2258"/>
      <c r="AJ7" s="2258"/>
      <c r="AK7" s="2258"/>
      <c r="AL7" s="2258"/>
      <c r="AM7" s="2258"/>
      <c r="BJ7" s="1640">
        <v>24</v>
      </c>
    </row>
    <row customHeight="1" ht="11.549999999999999">
      <c r="E8" s="1144"/>
      <c r="F8" s="1144"/>
      <c r="G8" s="1144"/>
      <c r="H8" s="1144"/>
      <c r="I8" s="1144"/>
      <c r="J8" s="1145" t="s">
        <v>22</v>
      </c>
      <c r="K8" s="1145" t="s">
        <v>22</v>
      </c>
      <c r="L8" s="1145" t="s">
        <v>22</v>
      </c>
      <c r="M8" s="1145" t="s">
        <v>22</v>
      </c>
      <c r="N8" s="1145" t="s">
        <v>22</v>
      </c>
      <c r="O8" s="1145" t="s">
        <v>22</v>
      </c>
      <c r="P8" s="1145" t="s">
        <v>22</v>
      </c>
      <c r="Q8" s="1145" t="s">
        <v>22</v>
      </c>
      <c r="R8" s="1145" t="s">
        <v>22</v>
      </c>
      <c r="S8" s="1145" t="s">
        <v>22</v>
      </c>
      <c r="T8" s="1145" t="s">
        <v>22</v>
      </c>
      <c r="U8" s="1145" t="s">
        <v>22</v>
      </c>
      <c r="V8" s="1145" t="s">
        <v>22</v>
      </c>
      <c r="W8" s="1145" t="s">
        <v>22</v>
      </c>
      <c r="X8" s="1145" t="s">
        <v>22</v>
      </c>
      <c r="Y8" s="1145" t="s">
        <v>22</v>
      </c>
      <c r="Z8" s="1145" t="s">
        <v>22</v>
      </c>
      <c r="AA8" s="1145" t="s">
        <v>22</v>
      </c>
      <c r="AB8" s="1145" t="s">
        <v>22</v>
      </c>
      <c r="AC8" s="1145" t="s">
        <v>22</v>
      </c>
      <c r="AD8" s="1145" t="s">
        <v>22</v>
      </c>
      <c r="AE8" s="1145" t="s">
        <v>22</v>
      </c>
      <c r="AF8" s="1145" t="s">
        <v>22</v>
      </c>
      <c r="AG8" s="1145" t="s">
        <v>22</v>
      </c>
      <c r="AH8" s="1145" t="s">
        <v>22</v>
      </c>
      <c r="AI8" s="1145" t="s">
        <v>22</v>
      </c>
      <c r="AJ8" s="1145" t="s">
        <v>22</v>
      </c>
      <c r="AK8" s="1145" t="s">
        <v>22</v>
      </c>
      <c r="AL8" s="1145" t="s">
        <v>22</v>
      </c>
      <c r="AM8" s="1145" t="s">
        <v>22</v>
      </c>
      <c r="BJ8" s="1640">
        <v>11</v>
      </c>
    </row>
    <row s="1651" customFormat="1" customHeight="1" ht="1.05">
      <c r="A9" s="1176"/>
      <c r="D9" s="1651"/>
      <c r="H9" s="898"/>
      <c r="I9" s="898" t="s">
        <v>118</v>
      </c>
      <c r="J9" s="898" t="s">
        <v>123</v>
      </c>
      <c r="K9" s="898" t="s">
        <v>125</v>
      </c>
      <c r="L9" s="898" t="s">
        <v>127</v>
      </c>
      <c r="M9" s="898" t="s">
        <v>129</v>
      </c>
      <c r="N9" s="898" t="s">
        <v>131</v>
      </c>
      <c r="O9" s="898" t="s">
        <v>133</v>
      </c>
      <c r="P9" s="898" t="s">
        <v>135</v>
      </c>
      <c r="Q9" s="898" t="s">
        <v>138</v>
      </c>
      <c r="R9" s="898" t="s">
        <v>141</v>
      </c>
      <c r="S9" s="898" t="s">
        <v>144</v>
      </c>
      <c r="T9" s="898" t="s">
        <v>147</v>
      </c>
      <c r="U9" s="898" t="s">
        <v>150</v>
      </c>
      <c r="V9" s="898" t="s">
        <v>153</v>
      </c>
      <c r="W9" s="898" t="s">
        <v>156</v>
      </c>
      <c r="X9" s="898" t="s">
        <v>159</v>
      </c>
      <c r="Y9" s="898" t="s">
        <v>162</v>
      </c>
      <c r="Z9" s="898" t="s">
        <v>165</v>
      </c>
      <c r="AA9" s="898" t="s">
        <v>168</v>
      </c>
      <c r="AB9" s="898" t="s">
        <v>171</v>
      </c>
      <c r="AC9" s="898" t="s">
        <v>174</v>
      </c>
      <c r="AD9" s="898" t="s">
        <v>177</v>
      </c>
      <c r="AE9" s="898" t="s">
        <v>180</v>
      </c>
      <c r="AF9" s="898" t="s">
        <v>183</v>
      </c>
      <c r="AG9" s="898" t="s">
        <v>186</v>
      </c>
      <c r="AH9" s="898" t="s">
        <v>189</v>
      </c>
      <c r="AI9" s="898" t="s">
        <v>192</v>
      </c>
      <c r="AJ9" s="898" t="s">
        <v>195</v>
      </c>
      <c r="AK9" s="898" t="s">
        <v>198</v>
      </c>
      <c r="AL9" s="898" t="s">
        <v>200</v>
      </c>
      <c r="AM9" s="898" t="s">
        <v>201</v>
      </c>
      <c r="BJ9" s="1645">
        <v>1</v>
      </c>
    </row>
    <row customHeight="1" ht="11.549999999999999">
      <c r="E10" s="720"/>
      <c r="F10" s="2376" t="s">
        <v>105</v>
      </c>
      <c r="G10" s="2377"/>
      <c r="H10" s="1668" t="str">
        <f>IF(H9="","",INDEX(DIFFERENTIATION_UNMERGE_VD,MATCH(H9,DIFFERENTIATION_ID_DIFF,0)))</f>
        <v/>
      </c>
      <c r="I10" s="1668" t="str">
        <f>IF(I9="","",INDEX(DIFFERENTIATION_UNMERGE_VD,MATCH(I9,DIFFERENTIATION_ID_DIFF,0)))</f>
        <v>Производство тепловой энергии. Некомбинированная выработка</v>
      </c>
      <c r="J10" s="2402" t="str">
        <f>IF(J9="","",INDEX(DIFFERENTIATION_UNMERGE_VD,MATCH(J9,DIFFERENTIATION_ID_DIFF,0)))</f>
        <v>Производство тепловой энергии. Некомбинированная выработка</v>
      </c>
      <c r="K10" s="2402" t="str">
        <f>IF(K9="","",INDEX(DIFFERENTIATION_UNMERGE_VD,MATCH(K9,DIFFERENTIATION_ID_DIFF,0)))</f>
        <v>Производство тепловой энергии. Некомбинированная выработка</v>
      </c>
      <c r="L10" s="2402" t="str">
        <f>IF(L9="","",INDEX(DIFFERENTIATION_UNMERGE_VD,MATCH(L9,DIFFERENTIATION_ID_DIFF,0)))</f>
        <v>Производство тепловой энергии. Некомбинированная выработка</v>
      </c>
      <c r="M10" s="2402" t="str">
        <f>IF(M9="","",INDEX(DIFFERENTIATION_UNMERGE_VD,MATCH(M9,DIFFERENTIATION_ID_DIFF,0)))</f>
        <v>Производство тепловой энергии. Некомбинированная выработка</v>
      </c>
      <c r="N10" s="2402" t="str">
        <f>IF(N9="","",INDEX(DIFFERENTIATION_UNMERGE_VD,MATCH(N9,DIFFERENTIATION_ID_DIFF,0)))</f>
        <v>Производство тепловой энергии. Некомбинированная выработка</v>
      </c>
      <c r="O10" s="2402" t="str">
        <f>IF(O9="","",INDEX(DIFFERENTIATION_UNMERGE_VD,MATCH(O9,DIFFERENTIATION_ID_DIFF,0)))</f>
        <v>Производство тепловой энергии. Некомбинированная выработка</v>
      </c>
      <c r="P10" s="2402" t="str">
        <f>IF(P9="","",INDEX(DIFFERENTIATION_UNMERGE_VD,MATCH(P9,DIFFERENTIATION_ID_DIFF,0)))</f>
        <v>Производство тепловой энергии. Некомбинированная выработка</v>
      </c>
      <c r="Q10" s="2402" t="str">
        <f>IF(Q9="","",INDEX(DIFFERENTIATION_UNMERGE_VD,MATCH(Q9,DIFFERENTIATION_ID_DIFF,0)))</f>
        <v>Производство тепловой энергии. Некомбинированная выработка</v>
      </c>
      <c r="R10" s="2402" t="str">
        <f>IF(R9="","",INDEX(DIFFERENTIATION_UNMERGE_VD,MATCH(R9,DIFFERENTIATION_ID_DIFF,0)))</f>
        <v>Производство тепловой энергии. Некомбинированная выработка</v>
      </c>
      <c r="S10" s="2402" t="str">
        <f>IF(S9="","",INDEX(DIFFERENTIATION_UNMERGE_VD,MATCH(S9,DIFFERENTIATION_ID_DIFF,0)))</f>
        <v>Производство тепловой энергии. Некомбинированная выработка</v>
      </c>
      <c r="T10" s="2402" t="str">
        <f>IF(T9="","",INDEX(DIFFERENTIATION_UNMERGE_VD,MATCH(T9,DIFFERENTIATION_ID_DIFF,0)))</f>
        <v>Производство тепловой энергии. Некомбинированная выработка</v>
      </c>
      <c r="U10" s="2402" t="str">
        <f>IF(U9="","",INDEX(DIFFERENTIATION_UNMERGE_VD,MATCH(U9,DIFFERENTIATION_ID_DIFF,0)))</f>
        <v>Производство тепловой энергии. Некомбинированная выработка</v>
      </c>
      <c r="V10" s="2402" t="str">
        <f>IF(V9="","",INDEX(DIFFERENTIATION_UNMERGE_VD,MATCH(V9,DIFFERENTIATION_ID_DIFF,0)))</f>
        <v>Производство тепловой энергии. Некомбинированная выработка</v>
      </c>
      <c r="W10" s="2402" t="str">
        <f>IF(W9="","",INDEX(DIFFERENTIATION_UNMERGE_VD,MATCH(W9,DIFFERENTIATION_ID_DIFF,0)))</f>
        <v>Производство тепловой энергии. Некомбинированная выработка</v>
      </c>
      <c r="X10" s="2402" t="str">
        <f>IF(X9="","",INDEX(DIFFERENTIATION_UNMERGE_VD,MATCH(X9,DIFFERENTIATION_ID_DIFF,0)))</f>
        <v>Производство тепловой энергии. Некомбинированная выработка</v>
      </c>
      <c r="Y10" s="2402" t="str">
        <f>IF(Y9="","",INDEX(DIFFERENTIATION_UNMERGE_VD,MATCH(Y9,DIFFERENTIATION_ID_DIFF,0)))</f>
        <v>Производство тепловой энергии. Некомбинированная выработка</v>
      </c>
      <c r="Z10" s="2402" t="str">
        <f>IF(Z9="","",INDEX(DIFFERENTIATION_UNMERGE_VD,MATCH(Z9,DIFFERENTIATION_ID_DIFF,0)))</f>
        <v>Производство тепловой энергии. Некомбинированная выработка</v>
      </c>
      <c r="AA10" s="2402" t="str">
        <f>IF(AA9="","",INDEX(DIFFERENTIATION_UNMERGE_VD,MATCH(AA9,DIFFERENTIATION_ID_DIFF,0)))</f>
        <v>Производство тепловой энергии. Некомбинированная выработка</v>
      </c>
      <c r="AB10" s="2402" t="str">
        <f>IF(AB9="","",INDEX(DIFFERENTIATION_UNMERGE_VD,MATCH(AB9,DIFFERENTIATION_ID_DIFF,0)))</f>
        <v>Производство тепловой энергии. Некомбинированная выработка</v>
      </c>
      <c r="AC10" s="2402" t="str">
        <f>IF(AC9="","",INDEX(DIFFERENTIATION_UNMERGE_VD,MATCH(AC9,DIFFERENTIATION_ID_DIFF,0)))</f>
        <v>Производство тепловой энергии. Некомбинированная выработка</v>
      </c>
      <c r="AD10" s="2402" t="str">
        <f>IF(AD9="","",INDEX(DIFFERENTIATION_UNMERGE_VD,MATCH(AD9,DIFFERENTIATION_ID_DIFF,0)))</f>
        <v>Производство тепловой энергии. Некомбинированная выработка</v>
      </c>
      <c r="AE10" s="2402" t="str">
        <f>IF(AE9="","",INDEX(DIFFERENTIATION_UNMERGE_VD,MATCH(AE9,DIFFERENTIATION_ID_DIFF,0)))</f>
        <v>Производство тепловой энергии. Некомбинированная выработка</v>
      </c>
      <c r="AF10" s="2402" t="str">
        <f>IF(AF9="","",INDEX(DIFFERENTIATION_UNMERGE_VD,MATCH(AF9,DIFFERENTIATION_ID_DIFF,0)))</f>
        <v>Производство тепловой энергии. Некомбинированная выработка</v>
      </c>
      <c r="AG10" s="2402" t="str">
        <f>IF(AG9="","",INDEX(DIFFERENTIATION_UNMERGE_VD,MATCH(AG9,DIFFERENTIATION_ID_DIFF,0)))</f>
        <v>Производство тепловой энергии. Некомбинированная выработка</v>
      </c>
      <c r="AH10" s="2402" t="str">
        <f>IF(AH9="","",INDEX(DIFFERENTIATION_UNMERGE_VD,MATCH(AH9,DIFFERENTIATION_ID_DIFF,0)))</f>
        <v>Производство тепловой энергии. Некомбинированная выработка</v>
      </c>
      <c r="AI10" s="2402" t="str">
        <f>IF(AI9="","",INDEX(DIFFERENTIATION_UNMERGE_VD,MATCH(AI9,DIFFERENTIATION_ID_DIFF,0)))</f>
        <v>Производство тепловой энергии. Некомбинированная выработка</v>
      </c>
      <c r="AJ10" s="2402" t="str">
        <f>IF(AJ9="","",INDEX(DIFFERENTIATION_UNMERGE_VD,MATCH(AJ9,DIFFERENTIATION_ID_DIFF,0)))</f>
        <v>Производство тепловой энергии. Некомбинированная выработка</v>
      </c>
      <c r="AK10" s="2402" t="str">
        <f>IF(AK9="","",INDEX(DIFFERENTIATION_UNMERGE_VD,MATCH(AK9,DIFFERENTIATION_ID_DIFF,0)))</f>
        <v>Производство. Теплоноситель</v>
      </c>
      <c r="AL10" s="2402" t="str">
        <f>IF(AL9="","",INDEX(DIFFERENTIATION_UNMERGE_VD,MATCH(AL9,DIFFERENTIATION_ID_DIFF,0)))</f>
        <v>Производство. Теплоноситель</v>
      </c>
      <c r="AM10" s="2402" t="str">
        <f>IF(AM9="","",INDEX(DIFFERENTIATION_UNMERGE_VD,MATCH(AM9,DIFFERENTIATION_ID_DIFF,0)))</f>
        <v>Производство. Теплоноситель</v>
      </c>
      <c r="AN10" s="2136"/>
      <c r="BJ10" s="1640">
        <v>11</v>
      </c>
    </row>
    <row customHeight="1" ht="11.549999999999999">
      <c r="E11" s="720"/>
      <c r="F11" s="2376" t="s">
        <v>637</v>
      </c>
      <c r="G11" s="2377"/>
      <c r="H11" s="1668" t="str">
        <f>IF(H9="","",INDEX(DIFFERENTIATION_UNMERGE_AREA,MATCH(H9,DIFFERENTIATION_ID_DIFF,0)))</f>
        <v/>
      </c>
      <c r="I11" s="1668" t="str">
        <f>IF(I9="","",INDEX(DIFFERENTIATION_UNMERGE_AREA,MATCH(I9,DIFFERENTIATION_ID_DIFF,0)))</f>
        <v>Территория 1</v>
      </c>
      <c r="J11" s="2402" t="str">
        <f>IF(J9="","",INDEX(DIFFERENTIATION_UNMERGE_AREA,MATCH(J9,DIFFERENTIATION_ID_DIFF,0)))</f>
        <v>Территория 1</v>
      </c>
      <c r="K11" s="2402" t="str">
        <f>IF(K9="","",INDEX(DIFFERENTIATION_UNMERGE_AREA,MATCH(K9,DIFFERENTIATION_ID_DIFF,0)))</f>
        <v>Территория 1</v>
      </c>
      <c r="L11" s="2402" t="str">
        <f>IF(L9="","",INDEX(DIFFERENTIATION_UNMERGE_AREA,MATCH(L9,DIFFERENTIATION_ID_DIFF,0)))</f>
        <v>Территория 1</v>
      </c>
      <c r="M11" s="2402" t="str">
        <f>IF(M9="","",INDEX(DIFFERENTIATION_UNMERGE_AREA,MATCH(M9,DIFFERENTIATION_ID_DIFF,0)))</f>
        <v>Территория 1</v>
      </c>
      <c r="N11" s="2402" t="str">
        <f>IF(N9="","",INDEX(DIFFERENTIATION_UNMERGE_AREA,MATCH(N9,DIFFERENTIATION_ID_DIFF,0)))</f>
        <v>Территория 1</v>
      </c>
      <c r="O11" s="2402" t="str">
        <f>IF(O9="","",INDEX(DIFFERENTIATION_UNMERGE_AREA,MATCH(O9,DIFFERENTIATION_ID_DIFF,0)))</f>
        <v>Территория 1</v>
      </c>
      <c r="P11" s="2402" t="str">
        <f>IF(P9="","",INDEX(DIFFERENTIATION_UNMERGE_AREA,MATCH(P9,DIFFERENTIATION_ID_DIFF,0)))</f>
        <v>Территория 1</v>
      </c>
      <c r="Q11" s="2402" t="str">
        <f>IF(Q9="","",INDEX(DIFFERENTIATION_UNMERGE_AREA,MATCH(Q9,DIFFERENTIATION_ID_DIFF,0)))</f>
        <v>Территория 1</v>
      </c>
      <c r="R11" s="2402" t="str">
        <f>IF(R9="","",INDEX(DIFFERENTIATION_UNMERGE_AREA,MATCH(R9,DIFFERENTIATION_ID_DIFF,0)))</f>
        <v>Территория 1</v>
      </c>
      <c r="S11" s="2402" t="str">
        <f>IF(S9="","",INDEX(DIFFERENTIATION_UNMERGE_AREA,MATCH(S9,DIFFERENTIATION_ID_DIFF,0)))</f>
        <v>Территория 1</v>
      </c>
      <c r="T11" s="2402" t="str">
        <f>IF(T9="","",INDEX(DIFFERENTIATION_UNMERGE_AREA,MATCH(T9,DIFFERENTIATION_ID_DIFF,0)))</f>
        <v>Территория 1</v>
      </c>
      <c r="U11" s="2402" t="str">
        <f>IF(U9="","",INDEX(DIFFERENTIATION_UNMERGE_AREA,MATCH(U9,DIFFERENTIATION_ID_DIFF,0)))</f>
        <v>Территория 1</v>
      </c>
      <c r="V11" s="2402" t="str">
        <f>IF(V9="","",INDEX(DIFFERENTIATION_UNMERGE_AREA,MATCH(V9,DIFFERENTIATION_ID_DIFF,0)))</f>
        <v>Территория 1</v>
      </c>
      <c r="W11" s="2402" t="str">
        <f>IF(W9="","",INDEX(DIFFERENTIATION_UNMERGE_AREA,MATCH(W9,DIFFERENTIATION_ID_DIFF,0)))</f>
        <v>Территория 1</v>
      </c>
      <c r="X11" s="2402" t="str">
        <f>IF(X9="","",INDEX(DIFFERENTIATION_UNMERGE_AREA,MATCH(X9,DIFFERENTIATION_ID_DIFF,0)))</f>
        <v>Территория 1</v>
      </c>
      <c r="Y11" s="2402" t="str">
        <f>IF(Y9="","",INDEX(DIFFERENTIATION_UNMERGE_AREA,MATCH(Y9,DIFFERENTIATION_ID_DIFF,0)))</f>
        <v>Территория 1</v>
      </c>
      <c r="Z11" s="2402" t="str">
        <f>IF(Z9="","",INDEX(DIFFERENTIATION_UNMERGE_AREA,MATCH(Z9,DIFFERENTIATION_ID_DIFF,0)))</f>
        <v>Территория 1</v>
      </c>
      <c r="AA11" s="2402" t="str">
        <f>IF(AA9="","",INDEX(DIFFERENTIATION_UNMERGE_AREA,MATCH(AA9,DIFFERENTIATION_ID_DIFF,0)))</f>
        <v>Территория 1</v>
      </c>
      <c r="AB11" s="2402" t="str">
        <f>IF(AB9="","",INDEX(DIFFERENTIATION_UNMERGE_AREA,MATCH(AB9,DIFFERENTIATION_ID_DIFF,0)))</f>
        <v>Территория 1</v>
      </c>
      <c r="AC11" s="2402" t="str">
        <f>IF(AC9="","",INDEX(DIFFERENTIATION_UNMERGE_AREA,MATCH(AC9,DIFFERENTIATION_ID_DIFF,0)))</f>
        <v>Территория 1</v>
      </c>
      <c r="AD11" s="2402" t="str">
        <f>IF(AD9="","",INDEX(DIFFERENTIATION_UNMERGE_AREA,MATCH(AD9,DIFFERENTIATION_ID_DIFF,0)))</f>
        <v>Территория 1</v>
      </c>
      <c r="AE11" s="2402" t="str">
        <f>IF(AE9="","",INDEX(DIFFERENTIATION_UNMERGE_AREA,MATCH(AE9,DIFFERENTIATION_ID_DIFF,0)))</f>
        <v>Территория 1</v>
      </c>
      <c r="AF11" s="2402" t="str">
        <f>IF(AF9="","",INDEX(DIFFERENTIATION_UNMERGE_AREA,MATCH(AF9,DIFFERENTIATION_ID_DIFF,0)))</f>
        <v>Территория 1</v>
      </c>
      <c r="AG11" s="2402" t="str">
        <f>IF(AG9="","",INDEX(DIFFERENTIATION_UNMERGE_AREA,MATCH(AG9,DIFFERENTIATION_ID_DIFF,0)))</f>
        <v>Территория 1</v>
      </c>
      <c r="AH11" s="2402" t="str">
        <f>IF(AH9="","",INDEX(DIFFERENTIATION_UNMERGE_AREA,MATCH(AH9,DIFFERENTIATION_ID_DIFF,0)))</f>
        <v>Территория 1</v>
      </c>
      <c r="AI11" s="2402" t="str">
        <f>IF(AI9="","",INDEX(DIFFERENTIATION_UNMERGE_AREA,MATCH(AI9,DIFFERENTIATION_ID_DIFF,0)))</f>
        <v>Территория 1</v>
      </c>
      <c r="AJ11" s="2402" t="str">
        <f>IF(AJ9="","",INDEX(DIFFERENTIATION_UNMERGE_AREA,MATCH(AJ9,DIFFERENTIATION_ID_DIFF,0)))</f>
        <v>Территория 1</v>
      </c>
      <c r="AK11" s="2402" t="str">
        <f>IF(AK9="","",INDEX(DIFFERENTIATION_UNMERGE_AREA,MATCH(AK9,DIFFERENTIATION_ID_DIFF,0)))</f>
        <v>Территория 1</v>
      </c>
      <c r="AL11" s="2402" t="str">
        <f>IF(AL9="","",INDEX(DIFFERENTIATION_UNMERGE_AREA,MATCH(AL9,DIFFERENTIATION_ID_DIFF,0)))</f>
        <v>Территория 1</v>
      </c>
      <c r="AM11" s="2402" t="str">
        <f>IF(AM9="","",INDEX(DIFFERENTIATION_UNMERGE_AREA,MATCH(AM9,DIFFERENTIATION_ID_DIFF,0)))</f>
        <v>Территория 1</v>
      </c>
      <c r="AN11" s="2136"/>
      <c r="BJ11" s="1640">
        <v>11</v>
      </c>
    </row>
    <row customHeight="1" ht="11.25" hidden="1">
      <c r="E12" s="1671"/>
      <c r="F12" s="2399" t="s">
        <v>638</v>
      </c>
      <c r="G12" s="2400"/>
      <c r="H12" s="1672" t="str">
        <f>IF(H9="","",INDEX(DIFFERENTIATION_UNMERGE_SYSTEM,MATCH(H9,DIFFERENTIATION_ID_DIFF,0)))</f>
        <v/>
      </c>
      <c r="I12" s="1672" t="str">
        <f>IF(I9="","",INDEX(DIFFERENTIATION_UNMERGE_SYSTEM,MATCH(I9,DIFFERENTIATION_ID_DIFF,0)))</f>
        <v>Котельная №1 по ул.Ново-Самарская, д.12</v>
      </c>
      <c r="J12" s="1672" t="str">
        <f>IF(J9="","",INDEX(DIFFERENTIATION_UNMERGE_SYSTEM,MATCH(J9,DIFFERENTIATION_ID_DIFF,0)))</f>
        <v>Котельная №2,  ул.Пирогова около д.4</v>
      </c>
      <c r="K12" s="1672" t="str">
        <f>IF(K9="","",INDEX(DIFFERENTIATION_UNMERGE_SYSTEM,MATCH(K9,DIFFERENTIATION_ID_DIFF,0)))</f>
        <v>Котельная №3, ул.Комсомольская около д.1 по ул.Ленина</v>
      </c>
      <c r="L12" s="1672" t="str">
        <f>IF(L9="","",INDEX(DIFFERENTIATION_UNMERGE_SYSTEM,MATCH(L9,DIFFERENTIATION_ID_DIFF,0)))</f>
        <v>Тепловой центр №1 ул.Вокзальная ок д.№8</v>
      </c>
      <c r="M12" s="1672" t="str">
        <f>IF(M9="","",INDEX(DIFFERENTIATION_UNMERGE_SYSTEM,MATCH(M9,DIFFERENTIATION_ID_DIFF,0)))</f>
        <v>Котельная №5, Александр. Поле, около д.30 по ул.Советская </v>
      </c>
      <c r="N12" s="1672" t="str">
        <f>IF(N9="","",INDEX(DIFFERENTIATION_UNMERGE_SYSTEM,MATCH(N9,DIFFERENTIATION_ID_DIFF,0)))</f>
        <v>Котельная №6, ул.Пушкина </v>
      </c>
      <c r="O12" s="1672" t="str">
        <f>IF(O9="","",INDEX(DIFFERENTIATION_UNMERGE_SYSTEM,MATCH(O9,DIFFERENTIATION_ID_DIFF,0)))</f>
        <v>Тепловой центр №2 ул.Вокзальная ок д.№20</v>
      </c>
      <c r="P12" s="1672" t="str">
        <f>IF(P9="","",INDEX(DIFFERENTIATION_UNMERGE_SYSTEM,MATCH(P9,DIFFERENTIATION_ID_DIFF,0)))</f>
        <v>Котельная №8, ул.Мира</v>
      </c>
      <c r="Q12" s="1672" t="str">
        <f>IF(Q9="","",INDEX(DIFFERENTIATION_UNMERGE_SYSTEM,MATCH(Q9,DIFFERENTIATION_ID_DIFF,0)))</f>
        <v>Котельная №9, ул.Гоголя</v>
      </c>
      <c r="R12" s="1672" t="str">
        <f>IF(R9="","",INDEX(DIFFERENTIATION_UNMERGE_SYSTEM,MATCH(R9,DIFFERENTIATION_ID_DIFF,0)))</f>
        <v>Котельная №10, ул.Гоголя</v>
      </c>
      <c r="S12" s="1672" t="str">
        <f>IF(S9="","",INDEX(DIFFERENTIATION_UNMERGE_SYSTEM,MATCH(S9,DIFFERENTIATION_ID_DIFF,0)))</f>
        <v>Котельная №12а, ул.Мира</v>
      </c>
      <c r="T12" s="1672" t="str">
        <f>IF(T9="","",INDEX(DIFFERENTIATION_UNMERGE_SYSTEM,MATCH(T9,DIFFERENTIATION_ID_DIFF,0)))</f>
        <v>Котельная №13, ул.Морквашинская</v>
      </c>
      <c r="U12" s="1672" t="str">
        <f>IF(U9="","",INDEX(DIFFERENTIATION_UNMERGE_SYSTEM,MATCH(U9,DIFFERENTIATION_ID_DIFF,0)))</f>
        <v>ЦТП-1 ул.Морквашинская ок.д№7</v>
      </c>
      <c r="V12" s="1672" t="str">
        <f>IF(V9="","",INDEX(DIFFERENTIATION_UNMERGE_SYSTEM,MATCH(V9,DIFFERENTIATION_ID_DIFF,0)))</f>
        <v>ЦТП-2, В-1,ок.д.№10</v>
      </c>
      <c r="W12" s="1672" t="str">
        <f>IF(W9="","",INDEX(DIFFERENTIATION_UNMERGE_SYSTEM,MATCH(W9,DIFFERENTIATION_ID_DIFF,0)))</f>
        <v>ЦТП-9, ул.Пролетарская д.23/ул.Транспортная д.10</v>
      </c>
      <c r="X12" s="1672" t="str">
        <f>IF(X9="","",INDEX(DIFFERENTIATION_UNMERGE_SYSTEM,MATCH(X9,DIFFERENTIATION_ID_DIFF,0)))</f>
        <v>ПНС№1-  Пролет, 5</v>
      </c>
      <c r="Y12" s="1672" t="str">
        <f>IF(Y9="","",INDEX(DIFFERENTIATION_UNMERGE_SYSTEM,MATCH(Y9,DIFFERENTIATION_ID_DIFF,0)))</f>
        <v>ПНС№2, ул.Репина,3</v>
      </c>
      <c r="Z12" s="1672" t="str">
        <f>IF(Z9="","",INDEX(DIFFERENTIATION_UNMERGE_SYSTEM,MATCH(Z9,DIFFERENTIATION_ID_DIFF,0)))</f>
        <v>Котельная №14, ул.Радиозаводская</v>
      </c>
      <c r="AA12" s="1672" t="str">
        <f>IF(AA9="","",INDEX(DIFFERENTIATION_UNMERGE_SYSTEM,MATCH(AA9,DIFFERENTIATION_ID_DIFF,0)))</f>
        <v>ЦТП-3, ул.Радиозаводская,ок.д.№6</v>
      </c>
      <c r="AB12" s="1672" t="str">
        <f>IF(AB9="","",INDEX(DIFFERENTIATION_UNMERGE_SYSTEM,MATCH(AB9,DIFFERENTIATION_ID_DIFF,0)))</f>
        <v>Котельная №17а с.Зольное , ул.Первомайская.</v>
      </c>
      <c r="AC12" s="1672" t="str">
        <f>IF(AC9="","",INDEX(DIFFERENTIATION_UNMERGE_SYSTEM,MATCH(AC9,DIFFERENTIATION_ID_DIFF,0)))</f>
        <v>Котельная №18А, с.Солнечная Поляна, ул. 4-я Линия</v>
      </c>
      <c r="AD12" s="1672" t="str">
        <f>IF(AD9="","",INDEX(DIFFERENTIATION_UNMERGE_SYSTEM,MATCH(AD9,DIFFERENTIATION_ID_DIFF,0)))</f>
        <v>Котельная №20,пос.Яблоневый Овраг , ул Никитина</v>
      </c>
      <c r="AE12" s="1672" t="str">
        <f>IF(AE9="","",INDEX(DIFFERENTIATION_UNMERGE_SYSTEM,MATCH(AE9,DIFFERENTIATION_ID_DIFF,0)))</f>
        <v>Котельная №22, ул.Магистральная</v>
      </c>
      <c r="AF12" s="1672" t="str">
        <f>IF(AF9="","",INDEX(DIFFERENTIATION_UNMERGE_SYSTEM,MATCH(AF9,DIFFERENTIATION_ID_DIFF,0)))</f>
        <v>Котельная №25,  МКР Г-1, ул.Гидротехническая</v>
      </c>
      <c r="AG12" s="1672" t="str">
        <f>IF(AG9="","",INDEX(DIFFERENTIATION_UNMERGE_SYSTEM,MATCH(AG9,DIFFERENTIATION_ID_DIFF,0)))</f>
        <v>ЦТП-7, ул.Оборонная</v>
      </c>
      <c r="AH12" s="1672" t="str">
        <f>IF(AH9="","",INDEX(DIFFERENTIATION_UNMERGE_SYSTEM,MATCH(AH9,DIFFERENTIATION_ID_DIFF,0)))</f>
        <v>ЦТП-8, ул.Шевченко</v>
      </c>
      <c r="AI12" s="1672" t="str">
        <f>IF(AI9="","",INDEX(DIFFERENTIATION_UNMERGE_SYSTEM,MATCH(AI9,DIFFERENTIATION_ID_DIFF,0)))</f>
        <v>ПНС, ул.Парковая</v>
      </c>
      <c r="AJ12" s="1672" t="str">
        <f>IF(AJ9="","",INDEX(DIFFERENTIATION_UNMERGE_SYSTEM,MATCH(AJ9,DIFFERENTIATION_ID_DIFF,0)))</f>
        <v>Котельная №27, п.Богатырь, ул.Управленческая</v>
      </c>
      <c r="AK12" s="1672" t="str">
        <f>IF(AK9="","",INDEX(DIFFERENTIATION_UNMERGE_SYSTEM,MATCH(AK9,DIFFERENTIATION_ID_DIFF,0)))</f>
        <v>Котельная №13, ул.Морквашинская</v>
      </c>
      <c r="AL12" s="1672" t="str">
        <f>IF(AL9="","",INDEX(DIFFERENTIATION_UNMERGE_SYSTEM,MATCH(AL9,DIFFERENTIATION_ID_DIFF,0)))</f>
        <v>Котельная №14, ул.Радиозаводская</v>
      </c>
      <c r="AM12" s="1672" t="str">
        <f>IF(AM9="","",INDEX(DIFFERENTIATION_UNMERGE_SYSTEM,MATCH(AM9,DIFFERENTIATION_ID_DIFF,0)))</f>
        <v>Котельная №25,  МКР Г-1, ул.Гидротехническая</v>
      </c>
      <c r="AN12" s="2136"/>
      <c r="BJ12" s="1640">
        <v>0</v>
      </c>
    </row>
    <row customHeight="1" ht="11.549999999999999">
      <c r="E13" s="2378" t="s">
        <v>373</v>
      </c>
      <c r="F13" s="2379"/>
      <c r="G13" s="2379"/>
      <c r="H13" s="1665"/>
      <c r="I13" s="1665"/>
      <c r="J13" s="2376"/>
      <c r="K13" s="2376"/>
      <c r="L13" s="2376"/>
      <c r="M13" s="2376"/>
      <c r="N13" s="2376"/>
      <c r="O13" s="2376"/>
      <c r="P13" s="2376"/>
      <c r="Q13" s="2376"/>
      <c r="R13" s="2376"/>
      <c r="S13" s="2376"/>
      <c r="T13" s="2376"/>
      <c r="U13" s="2376"/>
      <c r="V13" s="2376"/>
      <c r="W13" s="2376"/>
      <c r="X13" s="2376"/>
      <c r="Y13" s="2376"/>
      <c r="Z13" s="2376"/>
      <c r="AA13" s="2376"/>
      <c r="AB13" s="2376"/>
      <c r="AC13" s="2376"/>
      <c r="AD13" s="2376"/>
      <c r="AE13" s="2376"/>
      <c r="AF13" s="2376"/>
      <c r="AG13" s="2376"/>
      <c r="AH13" s="2376"/>
      <c r="AI13" s="2376"/>
      <c r="AJ13" s="2376"/>
      <c r="AK13" s="2376"/>
      <c r="AL13" s="2376"/>
      <c r="AM13" s="2376"/>
      <c r="AN13" s="2136"/>
      <c r="BJ13" s="1640">
        <v>11</v>
      </c>
    </row>
    <row customHeight="1" ht="24">
      <c r="E14" s="1666" t="s">
        <v>88</v>
      </c>
      <c r="F14" s="1669" t="s">
        <v>375</v>
      </c>
      <c r="G14" s="1669" t="s">
        <v>639</v>
      </c>
      <c r="H14" s="1669" t="s">
        <v>376</v>
      </c>
      <c r="I14" s="1669" t="s">
        <v>376</v>
      </c>
      <c r="J14" s="2321" t="s">
        <v>376</v>
      </c>
      <c r="K14" s="2321" t="s">
        <v>376</v>
      </c>
      <c r="L14" s="2321" t="s">
        <v>376</v>
      </c>
      <c r="M14" s="2321" t="s">
        <v>376</v>
      </c>
      <c r="N14" s="2321" t="s">
        <v>376</v>
      </c>
      <c r="O14" s="2321" t="s">
        <v>376</v>
      </c>
      <c r="P14" s="2321" t="s">
        <v>376</v>
      </c>
      <c r="Q14" s="2321" t="s">
        <v>376</v>
      </c>
      <c r="R14" s="2321" t="s">
        <v>376</v>
      </c>
      <c r="S14" s="2321" t="s">
        <v>376</v>
      </c>
      <c r="T14" s="2321" t="s">
        <v>376</v>
      </c>
      <c r="U14" s="2321" t="s">
        <v>376</v>
      </c>
      <c r="V14" s="2321" t="s">
        <v>376</v>
      </c>
      <c r="W14" s="2321" t="s">
        <v>376</v>
      </c>
      <c r="X14" s="2321" t="s">
        <v>376</v>
      </c>
      <c r="Y14" s="2321" t="s">
        <v>376</v>
      </c>
      <c r="Z14" s="2321" t="s">
        <v>376</v>
      </c>
      <c r="AA14" s="2321" t="s">
        <v>376</v>
      </c>
      <c r="AB14" s="2321" t="s">
        <v>376</v>
      </c>
      <c r="AC14" s="2321" t="s">
        <v>376</v>
      </c>
      <c r="AD14" s="2321" t="s">
        <v>376</v>
      </c>
      <c r="AE14" s="2321" t="s">
        <v>376</v>
      </c>
      <c r="AF14" s="2321" t="s">
        <v>376</v>
      </c>
      <c r="AG14" s="2321" t="s">
        <v>376</v>
      </c>
      <c r="AH14" s="2321" t="s">
        <v>376</v>
      </c>
      <c r="AI14" s="2321" t="s">
        <v>376</v>
      </c>
      <c r="AJ14" s="2321" t="s">
        <v>376</v>
      </c>
      <c r="AK14" s="2375" t="s">
        <v>376</v>
      </c>
      <c r="AL14" s="2375" t="s">
        <v>376</v>
      </c>
      <c r="AM14" s="2375" t="s">
        <v>376</v>
      </c>
      <c r="AN14" s="2136"/>
      <c r="BJ14" s="1640">
        <v>23</v>
      </c>
    </row>
    <row customHeight="1" ht="19.95">
      <c r="D15" s="1647"/>
      <c r="E15" s="1639" t="s">
        <v>109</v>
      </c>
      <c r="F15" s="716" t="s">
        <v>878</v>
      </c>
      <c r="G15" s="1666" t="s">
        <v>625</v>
      </c>
      <c r="H15" s="566"/>
      <c r="I15" s="566"/>
      <c r="J15" s="566"/>
      <c r="K15" s="566"/>
      <c r="L15" s="566"/>
      <c r="M15" s="566"/>
      <c r="N15" s="566"/>
      <c r="O15" s="566"/>
      <c r="P15" s="566"/>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298" t="s">
        <v>879</v>
      </c>
      <c r="AO15" s="552" t="s">
        <v>733</v>
      </c>
      <c r="BJ15" s="1640">
        <v>19</v>
      </c>
    </row>
    <row customHeight="1" ht="24">
      <c r="D16" s="1647"/>
      <c r="E16" s="1639" t="s">
        <v>110</v>
      </c>
      <c r="F16" s="1674" t="s">
        <v>880</v>
      </c>
      <c r="G16" s="1666" t="s">
        <v>625</v>
      </c>
      <c r="H16" s="567">
        <f>SUM(H17,H20:H27)</f>
        <v>0</v>
      </c>
      <c r="I16" s="567">
        <f>SUM(I17,I20:I27)</f>
        <v>0</v>
      </c>
      <c r="J16" s="567">
        <f>SUM(J17,J20:J27)</f>
        <v>0</v>
      </c>
      <c r="K16" s="567">
        <f>SUM(K17,K20:K27)</f>
        <v>0</v>
      </c>
      <c r="L16" s="567">
        <f>SUM(L17,L20:L27)</f>
        <v>0</v>
      </c>
      <c r="M16" s="567">
        <f>SUM(M17,M20:M27)</f>
        <v>0</v>
      </c>
      <c r="N16" s="567">
        <f>SUM(N17,N20:N27)</f>
        <v>0</v>
      </c>
      <c r="O16" s="567">
        <f>SUM(O17,O20:O27)</f>
        <v>0</v>
      </c>
      <c r="P16" s="567">
        <f>SUM(P17,P20:P27)</f>
        <v>0</v>
      </c>
      <c r="Q16" s="567">
        <f>SUM(Q17,Q20:Q27)</f>
        <v>0</v>
      </c>
      <c r="R16" s="567">
        <f>SUM(R17,R20:R27)</f>
        <v>0</v>
      </c>
      <c r="S16" s="567">
        <f>SUM(S17,S20:S27)</f>
        <v>0</v>
      </c>
      <c r="T16" s="567">
        <f>SUM(T17,T20:T27)</f>
        <v>0</v>
      </c>
      <c r="U16" s="567">
        <f>SUM(U17,U20:U27)</f>
        <v>0</v>
      </c>
      <c r="V16" s="567">
        <f>SUM(V17,V20:V27)</f>
        <v>0</v>
      </c>
      <c r="W16" s="567">
        <f>SUM(W17,W20:W27)</f>
        <v>0</v>
      </c>
      <c r="X16" s="567">
        <f>SUM(X17,X20:X27)</f>
        <v>0</v>
      </c>
      <c r="Y16" s="567">
        <f>SUM(Y17,Y20:Y27)</f>
        <v>0</v>
      </c>
      <c r="Z16" s="567">
        <f>SUM(Z17,Z20:Z27)</f>
        <v>0</v>
      </c>
      <c r="AA16" s="567">
        <f>SUM(AA17,AA20:AA27)</f>
        <v>0</v>
      </c>
      <c r="AB16" s="567">
        <f>SUM(AB17,AB20:AB27)</f>
        <v>0</v>
      </c>
      <c r="AC16" s="567">
        <f>SUM(AC17,AC20:AC27)</f>
        <v>0</v>
      </c>
      <c r="AD16" s="567">
        <f>SUM(AD17,AD20:AD27)</f>
        <v>0</v>
      </c>
      <c r="AE16" s="567">
        <f>SUM(AE17,AE20:AE27)</f>
        <v>0</v>
      </c>
      <c r="AF16" s="567">
        <f>SUM(AF17,AF20:AF27)</f>
        <v>0</v>
      </c>
      <c r="AG16" s="567">
        <f>SUM(AG17,AG20:AG27)</f>
        <v>0</v>
      </c>
      <c r="AH16" s="567">
        <f>SUM(AH17,AH20:AH27)</f>
        <v>0</v>
      </c>
      <c r="AI16" s="567">
        <f>SUM(AI17,AI20:AI27)</f>
        <v>0</v>
      </c>
      <c r="AJ16" s="567">
        <f>SUM(AJ17,AJ20:AJ27)</f>
        <v>0</v>
      </c>
      <c r="AK16" s="567">
        <f>SUM(AK17,AK20:AK27)</f>
        <v>0</v>
      </c>
      <c r="AL16" s="567">
        <f>SUM(AL17,AL20:AL27)</f>
        <v>0</v>
      </c>
      <c r="AM16" s="567">
        <f>SUM(AM17,AM20:AM27)</f>
        <v>0</v>
      </c>
      <c r="AN16" s="298" t="s">
        <v>881</v>
      </c>
      <c r="AO16" s="552" t="s">
        <v>733</v>
      </c>
      <c r="BJ16" s="1640">
        <v>23</v>
      </c>
    </row>
    <row customHeight="1" ht="35.699999999999996">
      <c r="D17" s="1647"/>
      <c r="E17" s="1673" t="s">
        <v>811</v>
      </c>
      <c r="F17" s="1676" t="s">
        <v>882</v>
      </c>
      <c r="G17" s="1663" t="s">
        <v>625</v>
      </c>
      <c r="H17" s="566"/>
      <c r="I17" s="566"/>
      <c r="J17" s="566"/>
      <c r="K17" s="566"/>
      <c r="L17" s="566"/>
      <c r="M17" s="566"/>
      <c r="N17" s="566"/>
      <c r="O17" s="566"/>
      <c r="P17" s="566"/>
      <c r="Q17" s="566"/>
      <c r="R17" s="566"/>
      <c r="S17" s="566"/>
      <c r="T17" s="566"/>
      <c r="U17" s="566"/>
      <c r="V17" s="566"/>
      <c r="W17" s="566"/>
      <c r="X17" s="566"/>
      <c r="Y17" s="566"/>
      <c r="Z17" s="566"/>
      <c r="AA17" s="566"/>
      <c r="AB17" s="566"/>
      <c r="AC17" s="566"/>
      <c r="AD17" s="566"/>
      <c r="AE17" s="566"/>
      <c r="AF17" s="566"/>
      <c r="AG17" s="566"/>
      <c r="AH17" s="566"/>
      <c r="AI17" s="566"/>
      <c r="AJ17" s="566"/>
      <c r="AK17" s="566"/>
      <c r="AL17" s="566"/>
      <c r="AM17" s="566"/>
      <c r="AN17" s="298" t="s">
        <v>883</v>
      </c>
      <c r="AO17" s="552"/>
      <c r="BJ17" s="1640">
        <v>34</v>
      </c>
    </row>
    <row customHeight="1" ht="19.95">
      <c r="D18" s="1647"/>
      <c r="E18" s="1673" t="s">
        <v>814</v>
      </c>
      <c r="F18" s="1677" t="s">
        <v>884</v>
      </c>
      <c r="G18" s="1663" t="s">
        <v>625</v>
      </c>
      <c r="H18" s="566"/>
      <c r="I18" s="566"/>
      <c r="J18" s="566"/>
      <c r="K18" s="566"/>
      <c r="L18" s="566"/>
      <c r="M18" s="566"/>
      <c r="N18" s="566"/>
      <c r="O18" s="566"/>
      <c r="P18" s="566"/>
      <c r="Q18" s="566"/>
      <c r="R18" s="566"/>
      <c r="S18" s="566"/>
      <c r="T18" s="566"/>
      <c r="U18" s="566"/>
      <c r="V18" s="566"/>
      <c r="W18" s="566"/>
      <c r="X18" s="566"/>
      <c r="Y18" s="566"/>
      <c r="Z18" s="566"/>
      <c r="AA18" s="566"/>
      <c r="AB18" s="566"/>
      <c r="AC18" s="566"/>
      <c r="AD18" s="566"/>
      <c r="AE18" s="566"/>
      <c r="AF18" s="566"/>
      <c r="AG18" s="566"/>
      <c r="AH18" s="566"/>
      <c r="AI18" s="566"/>
      <c r="AJ18" s="566"/>
      <c r="AK18" s="566"/>
      <c r="AL18" s="566"/>
      <c r="AM18" s="566"/>
      <c r="AN18" s="298"/>
      <c r="AO18" s="552"/>
      <c r="BJ18" s="1640">
        <v>19</v>
      </c>
    </row>
    <row customHeight="1" ht="24">
      <c r="D19" s="1647"/>
      <c r="E19" s="1673" t="s">
        <v>817</v>
      </c>
      <c r="F19" s="1677" t="s">
        <v>885</v>
      </c>
      <c r="G19" s="1663" t="s">
        <v>625</v>
      </c>
      <c r="H19" s="566"/>
      <c r="I19" s="566"/>
      <c r="J19" s="566"/>
      <c r="K19" s="566"/>
      <c r="L19" s="566"/>
      <c r="M19" s="566"/>
      <c r="N19" s="566"/>
      <c r="O19" s="566"/>
      <c r="P19" s="566"/>
      <c r="Q19" s="566"/>
      <c r="R19" s="566"/>
      <c r="S19" s="566"/>
      <c r="T19" s="566"/>
      <c r="U19" s="566"/>
      <c r="V19" s="566"/>
      <c r="W19" s="566"/>
      <c r="X19" s="566"/>
      <c r="Y19" s="566"/>
      <c r="Z19" s="566"/>
      <c r="AA19" s="566"/>
      <c r="AB19" s="566"/>
      <c r="AC19" s="566"/>
      <c r="AD19" s="566"/>
      <c r="AE19" s="566"/>
      <c r="AF19" s="566"/>
      <c r="AG19" s="566"/>
      <c r="AH19" s="566"/>
      <c r="AI19" s="566"/>
      <c r="AJ19" s="566"/>
      <c r="AK19" s="566"/>
      <c r="AL19" s="566"/>
      <c r="AM19" s="566"/>
      <c r="AN19" s="298"/>
      <c r="AO19" s="552"/>
      <c r="BJ19" s="1640">
        <v>23</v>
      </c>
    </row>
    <row customHeight="1" ht="35.699999999999996">
      <c r="D20" s="1647"/>
      <c r="E20" s="1673" t="s">
        <v>380</v>
      </c>
      <c r="F20" s="1676" t="s">
        <v>886</v>
      </c>
      <c r="G20" s="1663" t="s">
        <v>625</v>
      </c>
      <c r="H20" s="566"/>
      <c r="I20" s="566"/>
      <c r="J20" s="566"/>
      <c r="K20" s="566"/>
      <c r="L20" s="566"/>
      <c r="M20" s="566"/>
      <c r="N20" s="566"/>
      <c r="O20" s="566"/>
      <c r="P20" s="566"/>
      <c r="Q20" s="566"/>
      <c r="R20" s="566"/>
      <c r="S20" s="566"/>
      <c r="T20" s="566"/>
      <c r="U20" s="566"/>
      <c r="V20" s="566"/>
      <c r="W20" s="566"/>
      <c r="X20" s="566"/>
      <c r="Y20" s="566"/>
      <c r="Z20" s="566"/>
      <c r="AA20" s="566"/>
      <c r="AB20" s="566"/>
      <c r="AC20" s="566"/>
      <c r="AD20" s="566"/>
      <c r="AE20" s="566"/>
      <c r="AF20" s="566"/>
      <c r="AG20" s="566"/>
      <c r="AH20" s="566"/>
      <c r="AI20" s="566"/>
      <c r="AJ20" s="566"/>
      <c r="AK20" s="566"/>
      <c r="AL20" s="566"/>
      <c r="AM20" s="566"/>
      <c r="AN20" s="298"/>
      <c r="AO20" s="552"/>
      <c r="BJ20" s="1640">
        <v>34</v>
      </c>
    </row>
    <row customHeight="1" ht="48.29999999999999">
      <c r="D21" s="1647"/>
      <c r="E21" s="1673" t="s">
        <v>383</v>
      </c>
      <c r="F21" s="1676" t="s">
        <v>887</v>
      </c>
      <c r="G21" s="1663" t="s">
        <v>625</v>
      </c>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298"/>
      <c r="AO21" s="552"/>
      <c r="BJ21" s="1640">
        <v>46</v>
      </c>
    </row>
    <row customHeight="1" ht="60">
      <c r="D22" s="1647"/>
      <c r="E22" s="1673" t="s">
        <v>831</v>
      </c>
      <c r="F22" s="1676" t="s">
        <v>888</v>
      </c>
      <c r="G22" s="1663" t="s">
        <v>625</v>
      </c>
      <c r="H22" s="566"/>
      <c r="I22" s="566"/>
      <c r="J22" s="566"/>
      <c r="K22" s="566"/>
      <c r="L22" s="566"/>
      <c r="M22" s="566"/>
      <c r="N22" s="566"/>
      <c r="O22" s="566"/>
      <c r="P22" s="566"/>
      <c r="Q22" s="566"/>
      <c r="R22" s="566"/>
      <c r="S22" s="566"/>
      <c r="T22" s="566"/>
      <c r="U22" s="566"/>
      <c r="V22" s="566"/>
      <c r="W22" s="566"/>
      <c r="X22" s="566"/>
      <c r="Y22" s="566"/>
      <c r="Z22" s="566"/>
      <c r="AA22" s="566"/>
      <c r="AB22" s="566"/>
      <c r="AC22" s="566"/>
      <c r="AD22" s="566"/>
      <c r="AE22" s="566"/>
      <c r="AF22" s="566"/>
      <c r="AG22" s="566"/>
      <c r="AH22" s="566"/>
      <c r="AI22" s="566"/>
      <c r="AJ22" s="566"/>
      <c r="AK22" s="566"/>
      <c r="AL22" s="566"/>
      <c r="AM22" s="566"/>
      <c r="AN22" s="298"/>
      <c r="AO22" s="552"/>
      <c r="BJ22" s="1640">
        <v>57</v>
      </c>
    </row>
    <row customHeight="1" ht="35.699999999999996">
      <c r="D23" s="1647"/>
      <c r="E23" s="1673" t="s">
        <v>838</v>
      </c>
      <c r="F23" s="1676" t="s">
        <v>889</v>
      </c>
      <c r="G23" s="1663" t="s">
        <v>625</v>
      </c>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M23" s="566"/>
      <c r="AN23" s="298"/>
      <c r="AO23" s="552"/>
      <c r="BJ23" s="1640">
        <v>34</v>
      </c>
    </row>
    <row customHeight="1" ht="35.699999999999996">
      <c r="D24" s="1647"/>
      <c r="E24" s="1673" t="s">
        <v>840</v>
      </c>
      <c r="F24" s="1676" t="s">
        <v>890</v>
      </c>
      <c r="G24" s="1663" t="s">
        <v>625</v>
      </c>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298"/>
      <c r="AO24" s="552"/>
      <c r="BJ24" s="1640">
        <v>34</v>
      </c>
    </row>
    <row customHeight="1" ht="24">
      <c r="D25" s="1647"/>
      <c r="E25" s="1673" t="s">
        <v>842</v>
      </c>
      <c r="F25" s="1676" t="s">
        <v>891</v>
      </c>
      <c r="G25" s="1663" t="s">
        <v>625</v>
      </c>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298"/>
      <c r="AO25" s="552"/>
      <c r="BJ25" s="1640">
        <v>23</v>
      </c>
    </row>
    <row customHeight="1" ht="76.5">
      <c r="D26" s="1647"/>
      <c r="E26" s="1673" t="s">
        <v>844</v>
      </c>
      <c r="F26" s="1676" t="s">
        <v>892</v>
      </c>
      <c r="G26" s="1663" t="s">
        <v>625</v>
      </c>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298"/>
      <c r="AO26" s="552"/>
      <c r="BJ26" s="1640">
        <v>73</v>
      </c>
    </row>
    <row s="1375" customFormat="1" customHeight="1" ht="35.699999999999996">
      <c r="A27" s="996"/>
      <c r="C27" s="1645"/>
      <c r="D27" s="1647"/>
      <c r="E27" s="1638" t="s">
        <v>848</v>
      </c>
      <c r="F27" s="1637" t="s">
        <v>893</v>
      </c>
      <c r="G27" s="1664" t="s">
        <v>625</v>
      </c>
      <c r="H27" s="588">
        <f>SUM(H28:H29)</f>
        <v>0</v>
      </c>
      <c r="I27" s="588">
        <f>SUM(I28:I29)</f>
        <v>0</v>
      </c>
      <c r="J27" s="588">
        <f>SUM(J28:J29)</f>
        <v>0</v>
      </c>
      <c r="K27" s="588">
        <f>SUM(K28:K29)</f>
        <v>0</v>
      </c>
      <c r="L27" s="588">
        <f>SUM(L28:L29)</f>
        <v>0</v>
      </c>
      <c r="M27" s="588">
        <f>SUM(M28:M29)</f>
        <v>0</v>
      </c>
      <c r="N27" s="588">
        <f>SUM(N28:N29)</f>
        <v>0</v>
      </c>
      <c r="O27" s="588">
        <f>SUM(O28:O29)</f>
        <v>0</v>
      </c>
      <c r="P27" s="588">
        <f>SUM(P28:P29)</f>
        <v>0</v>
      </c>
      <c r="Q27" s="588">
        <f>SUM(Q28:Q29)</f>
        <v>0</v>
      </c>
      <c r="R27" s="588">
        <f>SUM(R28:R29)</f>
        <v>0</v>
      </c>
      <c r="S27" s="588">
        <f>SUM(S28:S29)</f>
        <v>0</v>
      </c>
      <c r="T27" s="588">
        <f>SUM(T28:T29)</f>
        <v>0</v>
      </c>
      <c r="U27" s="588">
        <f>SUM(U28:U29)</f>
        <v>0</v>
      </c>
      <c r="V27" s="588">
        <f>SUM(V28:V29)</f>
        <v>0</v>
      </c>
      <c r="W27" s="588">
        <f>SUM(W28:W29)</f>
        <v>0</v>
      </c>
      <c r="X27" s="588">
        <f>SUM(X28:X29)</f>
        <v>0</v>
      </c>
      <c r="Y27" s="588">
        <f>SUM(Y28:Y29)</f>
        <v>0</v>
      </c>
      <c r="Z27" s="588">
        <f>SUM(Z28:Z29)</f>
        <v>0</v>
      </c>
      <c r="AA27" s="588">
        <f>SUM(AA28:AA29)</f>
        <v>0</v>
      </c>
      <c r="AB27" s="588">
        <f>SUM(AB28:AB29)</f>
        <v>0</v>
      </c>
      <c r="AC27" s="588">
        <f>SUM(AC28:AC29)</f>
        <v>0</v>
      </c>
      <c r="AD27" s="588">
        <f>SUM(AD28:AD29)</f>
        <v>0</v>
      </c>
      <c r="AE27" s="588">
        <f>SUM(AE28:AE29)</f>
        <v>0</v>
      </c>
      <c r="AF27" s="588">
        <f>SUM(AF28:AF29)</f>
        <v>0</v>
      </c>
      <c r="AG27" s="588">
        <f>SUM(AG28:AG29)</f>
        <v>0</v>
      </c>
      <c r="AH27" s="588">
        <f>SUM(AH28:AH29)</f>
        <v>0</v>
      </c>
      <c r="AI27" s="588">
        <f>SUM(AI28:AI29)</f>
        <v>0</v>
      </c>
      <c r="AJ27" s="588">
        <f>SUM(AJ28:AJ29)</f>
        <v>0</v>
      </c>
      <c r="AK27" s="588">
        <f>SUM(AK28:AK29)</f>
        <v>0</v>
      </c>
      <c r="AL27" s="588">
        <f>SUM(AL28:AL29)</f>
        <v>0</v>
      </c>
      <c r="AM27" s="588">
        <f>SUM(AM28:AM29)</f>
        <v>0</v>
      </c>
      <c r="AN27" s="298" t="s">
        <v>846</v>
      </c>
      <c r="AO27" s="552"/>
      <c r="AP27" s="1645"/>
      <c r="AQ27" s="1645"/>
      <c r="AV27" s="1645"/>
      <c r="AY27" s="553"/>
      <c r="BE27" s="1641"/>
      <c r="BF27" s="1641"/>
      <c r="BG27" s="1641"/>
      <c r="BH27" s="1641"/>
      <c r="BI27" s="1641"/>
      <c r="BJ27" s="1169">
        <v>34</v>
      </c>
    </row>
    <row s="1651" customFormat="1" customHeight="1" ht="1.05">
      <c r="A28" s="1176"/>
      <c r="D28" s="557"/>
      <c r="E28" s="811" t="str">
        <f>E27&amp;".0"</f>
        <v>2.9.0</v>
      </c>
      <c r="F28" s="1000"/>
      <c r="G28" s="560"/>
      <c r="H28" s="1001"/>
      <c r="I28" s="1001"/>
      <c r="J28" s="1001"/>
      <c r="K28" s="1001"/>
      <c r="L28" s="1001"/>
      <c r="M28" s="1001"/>
      <c r="N28" s="1001"/>
      <c r="O28" s="1001"/>
      <c r="P28" s="1001"/>
      <c r="Q28" s="1001"/>
      <c r="R28" s="1001"/>
      <c r="S28" s="1001"/>
      <c r="T28" s="1001"/>
      <c r="U28" s="1001"/>
      <c r="V28" s="1001"/>
      <c r="W28" s="1001"/>
      <c r="X28" s="1001"/>
      <c r="Y28" s="1001"/>
      <c r="Z28" s="1001"/>
      <c r="AA28" s="1001"/>
      <c r="AB28" s="1001"/>
      <c r="AC28" s="1001"/>
      <c r="AD28" s="1001"/>
      <c r="AE28" s="1001"/>
      <c r="AF28" s="1001"/>
      <c r="AG28" s="1001"/>
      <c r="AH28" s="1001"/>
      <c r="AI28" s="1001"/>
      <c r="AJ28" s="1001"/>
      <c r="AK28" s="1001"/>
      <c r="AL28" s="1001"/>
      <c r="AM28" s="1001"/>
      <c r="AN28" s="1002"/>
      <c r="BJ28" s="1645">
        <v>1</v>
      </c>
    </row>
    <row s="1375" customFormat="1" customHeight="1" ht="19.95">
      <c r="A29" s="996"/>
      <c r="C29" s="1645"/>
      <c r="D29" s="1642"/>
      <c r="E29" s="579"/>
      <c r="F29" s="1675" t="s">
        <v>650</v>
      </c>
      <c r="G29" s="581"/>
      <c r="H29" s="582"/>
      <c r="I29" s="582"/>
      <c r="J29" s="2857"/>
      <c r="K29" s="2858"/>
      <c r="L29" s="2859"/>
      <c r="M29" s="2860"/>
      <c r="N29" s="2861"/>
      <c r="O29" s="2862"/>
      <c r="P29" s="2863"/>
      <c r="Q29" s="2864"/>
      <c r="R29" s="2865"/>
      <c r="S29" s="2866"/>
      <c r="T29" s="2867"/>
      <c r="U29" s="2868"/>
      <c r="V29" s="2869"/>
      <c r="W29" s="2870"/>
      <c r="X29" s="2871"/>
      <c r="Y29" s="2872"/>
      <c r="Z29" s="2873"/>
      <c r="AA29" s="2874"/>
      <c r="AB29" s="2875"/>
      <c r="AC29" s="2876"/>
      <c r="AD29" s="2877"/>
      <c r="AE29" s="2878"/>
      <c r="AF29" s="2879"/>
      <c r="AG29" s="2880"/>
      <c r="AH29" s="2881"/>
      <c r="AI29" s="2882"/>
      <c r="AJ29" s="2883"/>
      <c r="AK29" s="3157"/>
      <c r="AL29" s="3158"/>
      <c r="AM29" s="3159"/>
      <c r="AN29" s="310" t="s">
        <v>847</v>
      </c>
      <c r="AO29" s="552"/>
      <c r="AP29" s="1645"/>
      <c r="AQ29" s="1645"/>
      <c r="AV29" s="1645"/>
      <c r="AY29" s="553"/>
      <c r="BE29" s="1641"/>
      <c r="BF29" s="1641"/>
      <c r="BG29" s="1641"/>
      <c r="BH29" s="1641"/>
      <c r="BI29" s="1641"/>
      <c r="BJ29" s="1169">
        <v>19</v>
      </c>
    </row>
    <row s="1375" customFormat="1" customHeight="1" ht="24">
      <c r="A30" s="996"/>
      <c r="C30" s="1645"/>
      <c r="D30" s="1647"/>
      <c r="E30" s="1673" t="s">
        <v>90</v>
      </c>
      <c r="F30" s="1670" t="s">
        <v>894</v>
      </c>
      <c r="G30" s="1663" t="s">
        <v>625</v>
      </c>
      <c r="H30" s="566"/>
      <c r="I30" s="566"/>
      <c r="J30" s="566"/>
      <c r="K30" s="566"/>
      <c r="L30" s="566"/>
      <c r="M30" s="566"/>
      <c r="N30" s="566"/>
      <c r="O30" s="566"/>
      <c r="P30" s="566"/>
      <c r="Q30" s="566"/>
      <c r="R30" s="566"/>
      <c r="S30" s="566"/>
      <c r="T30" s="566"/>
      <c r="U30" s="566"/>
      <c r="V30" s="566"/>
      <c r="W30" s="566"/>
      <c r="X30" s="566"/>
      <c r="Y30" s="566"/>
      <c r="Z30" s="566"/>
      <c r="AA30" s="566"/>
      <c r="AB30" s="566"/>
      <c r="AC30" s="566"/>
      <c r="AD30" s="566"/>
      <c r="AE30" s="566"/>
      <c r="AF30" s="566"/>
      <c r="AG30" s="566"/>
      <c r="AH30" s="566"/>
      <c r="AI30" s="566"/>
      <c r="AJ30" s="566"/>
      <c r="AK30" s="566"/>
      <c r="AL30" s="566"/>
      <c r="AM30" s="566"/>
      <c r="AN30" s="298"/>
      <c r="AO30" s="552"/>
      <c r="AP30" s="1645"/>
      <c r="AQ30" s="1645"/>
      <c r="AV30" s="1645"/>
      <c r="AY30" s="553"/>
      <c r="BE30" s="1641"/>
      <c r="BF30" s="1641"/>
      <c r="BG30" s="1641"/>
      <c r="BH30" s="1641"/>
      <c r="BI30" s="1641"/>
      <c r="BJ30" s="1169">
        <v>23</v>
      </c>
    </row>
    <row s="1375" customFormat="1" customHeight="1" ht="35.699999999999996">
      <c r="A31" s="996"/>
      <c r="C31" s="1645"/>
      <c r="D31" s="584"/>
      <c r="E31" s="1673" t="s">
        <v>91</v>
      </c>
      <c r="F31" s="1670" t="s">
        <v>895</v>
      </c>
      <c r="G31" s="1663" t="s">
        <v>625</v>
      </c>
      <c r="H31" s="566"/>
      <c r="I31" s="566"/>
      <c r="J31" s="566"/>
      <c r="K31" s="566"/>
      <c r="L31" s="566"/>
      <c r="M31" s="566"/>
      <c r="N31" s="566"/>
      <c r="O31" s="566"/>
      <c r="P31" s="566"/>
      <c r="Q31" s="566"/>
      <c r="R31" s="566"/>
      <c r="S31" s="566"/>
      <c r="T31" s="566"/>
      <c r="U31" s="566"/>
      <c r="V31" s="566"/>
      <c r="W31" s="566"/>
      <c r="X31" s="566"/>
      <c r="Y31" s="566"/>
      <c r="Z31" s="566"/>
      <c r="AA31" s="566"/>
      <c r="AB31" s="566"/>
      <c r="AC31" s="566"/>
      <c r="AD31" s="566"/>
      <c r="AE31" s="566"/>
      <c r="AF31" s="566"/>
      <c r="AG31" s="566"/>
      <c r="AH31" s="566"/>
      <c r="AI31" s="566"/>
      <c r="AJ31" s="566"/>
      <c r="AK31" s="566"/>
      <c r="AL31" s="566"/>
      <c r="AM31" s="566"/>
      <c r="AN31" s="298" t="s">
        <v>896</v>
      </c>
      <c r="AO31" s="552"/>
      <c r="AP31" s="1645"/>
      <c r="AQ31" s="1645"/>
      <c r="AV31" s="1645"/>
      <c r="AY31" s="553"/>
      <c r="BE31" s="1641"/>
      <c r="BF31" s="1641"/>
      <c r="BG31" s="1641"/>
      <c r="BH31" s="1641"/>
      <c r="BI31" s="1641"/>
      <c r="BJ31" s="1169">
        <v>34</v>
      </c>
    </row>
    <row s="1375" customFormat="1" customHeight="1" ht="24">
      <c r="A32" s="996"/>
      <c r="C32" s="1645"/>
      <c r="D32" s="1647"/>
      <c r="E32" s="1673" t="s">
        <v>856</v>
      </c>
      <c r="F32" s="699" t="s">
        <v>860</v>
      </c>
      <c r="G32" s="1663" t="s">
        <v>625</v>
      </c>
      <c r="H32" s="566"/>
      <c r="I32" s="566"/>
      <c r="J32" s="566"/>
      <c r="K32" s="566"/>
      <c r="L32" s="566"/>
      <c r="M32" s="566"/>
      <c r="N32" s="566"/>
      <c r="O32" s="566"/>
      <c r="P32" s="566"/>
      <c r="Q32" s="566"/>
      <c r="R32" s="566"/>
      <c r="S32" s="566"/>
      <c r="T32" s="566"/>
      <c r="U32" s="566"/>
      <c r="V32" s="566"/>
      <c r="W32" s="566"/>
      <c r="X32" s="566"/>
      <c r="Y32" s="566"/>
      <c r="Z32" s="566"/>
      <c r="AA32" s="566"/>
      <c r="AB32" s="566"/>
      <c r="AC32" s="566"/>
      <c r="AD32" s="566"/>
      <c r="AE32" s="566"/>
      <c r="AF32" s="566"/>
      <c r="AG32" s="566"/>
      <c r="AH32" s="566"/>
      <c r="AI32" s="566"/>
      <c r="AJ32" s="566"/>
      <c r="AK32" s="566"/>
      <c r="AL32" s="566"/>
      <c r="AM32" s="566"/>
      <c r="AN32" s="298" t="s">
        <v>897</v>
      </c>
      <c r="AO32" s="552"/>
      <c r="AP32" s="1645"/>
      <c r="AQ32" s="1645"/>
      <c r="AV32" s="1645"/>
      <c r="AY32" s="553"/>
      <c r="BE32" s="1641"/>
      <c r="BF32" s="1641"/>
      <c r="BG32" s="1641"/>
      <c r="BH32" s="1641"/>
      <c r="BI32" s="1641"/>
      <c r="BJ32" s="1169">
        <v>23</v>
      </c>
    </row>
    <row s="1375" customFormat="1" customHeight="1" ht="24">
      <c r="A33" s="996"/>
      <c r="C33" s="1645"/>
      <c r="D33" s="1647"/>
      <c r="E33" s="1673" t="s">
        <v>898</v>
      </c>
      <c r="F33" s="699" t="s">
        <v>899</v>
      </c>
      <c r="G33" s="1663" t="s">
        <v>625</v>
      </c>
      <c r="H33" s="566"/>
      <c r="I33" s="566"/>
      <c r="J33" s="566"/>
      <c r="K33" s="566"/>
      <c r="L33" s="566"/>
      <c r="M33" s="566"/>
      <c r="N33" s="566"/>
      <c r="O33" s="566"/>
      <c r="P33" s="566"/>
      <c r="Q33" s="566"/>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298" t="s">
        <v>900</v>
      </c>
      <c r="AO33" s="552"/>
      <c r="AP33" s="1645"/>
      <c r="AQ33" s="1645"/>
      <c r="AV33" s="1645"/>
      <c r="AY33" s="553"/>
      <c r="BE33" s="1641"/>
      <c r="BF33" s="1641"/>
      <c r="BG33" s="1641"/>
      <c r="BH33" s="1641"/>
      <c r="BI33" s="1641"/>
      <c r="BJ33" s="1169">
        <v>23</v>
      </c>
    </row>
    <row s="1375" customFormat="1" customHeight="1" ht="24">
      <c r="A34" s="996"/>
      <c r="C34" s="1645"/>
      <c r="D34" s="1647"/>
      <c r="E34" s="1673" t="s">
        <v>901</v>
      </c>
      <c r="F34" s="699" t="s">
        <v>866</v>
      </c>
      <c r="G34" s="1663" t="s">
        <v>625</v>
      </c>
      <c r="H34" s="566"/>
      <c r="I34" s="566"/>
      <c r="J34" s="566"/>
      <c r="K34" s="566"/>
      <c r="L34" s="566"/>
      <c r="M34" s="566"/>
      <c r="N34" s="566"/>
      <c r="O34" s="566"/>
      <c r="P34" s="566"/>
      <c r="Q34" s="566"/>
      <c r="R34" s="566"/>
      <c r="S34" s="566"/>
      <c r="T34" s="566"/>
      <c r="U34" s="566"/>
      <c r="V34" s="566"/>
      <c r="W34" s="566"/>
      <c r="X34" s="566"/>
      <c r="Y34" s="566"/>
      <c r="Z34" s="566"/>
      <c r="AA34" s="566"/>
      <c r="AB34" s="566"/>
      <c r="AC34" s="566"/>
      <c r="AD34" s="566"/>
      <c r="AE34" s="566"/>
      <c r="AF34" s="566"/>
      <c r="AG34" s="566"/>
      <c r="AH34" s="566"/>
      <c r="AI34" s="566"/>
      <c r="AJ34" s="566"/>
      <c r="AK34" s="566"/>
      <c r="AL34" s="566"/>
      <c r="AM34" s="566"/>
      <c r="AN34" s="298" t="s">
        <v>902</v>
      </c>
      <c r="AO34" s="552"/>
      <c r="AP34" s="1645"/>
      <c r="AQ34" s="1645"/>
      <c r="AV34" s="1645"/>
      <c r="AY34" s="553"/>
      <c r="BE34" s="1641"/>
      <c r="BF34" s="1641"/>
      <c r="BG34" s="1641"/>
      <c r="BH34" s="1641"/>
      <c r="BI34" s="1641"/>
      <c r="BJ34" s="1169">
        <v>23</v>
      </c>
    </row>
    <row s="1375" customFormat="1" customHeight="1" ht="35.699999999999996">
      <c r="A35" s="996"/>
      <c r="C35" s="1645" t="s">
        <v>661</v>
      </c>
      <c r="D35" s="1647"/>
      <c r="E35" s="1673" t="s">
        <v>111</v>
      </c>
      <c r="F35" s="1670" t="s">
        <v>732</v>
      </c>
      <c r="G35" s="1666" t="s">
        <v>379</v>
      </c>
      <c r="H35" s="410"/>
      <c r="I35" s="410"/>
      <c r="J35" s="827"/>
      <c r="K35" s="827"/>
      <c r="L35" s="827"/>
      <c r="M35" s="827"/>
      <c r="N35" s="827"/>
      <c r="O35" s="827"/>
      <c r="P35" s="827"/>
      <c r="Q35" s="827"/>
      <c r="R35" s="827"/>
      <c r="S35" s="827"/>
      <c r="T35" s="827"/>
      <c r="U35" s="827"/>
      <c r="V35" s="827"/>
      <c r="W35" s="827"/>
      <c r="X35" s="827"/>
      <c r="Y35" s="827"/>
      <c r="Z35" s="827"/>
      <c r="AA35" s="827"/>
      <c r="AB35" s="827"/>
      <c r="AC35" s="827"/>
      <c r="AD35" s="827"/>
      <c r="AE35" s="827"/>
      <c r="AF35" s="827"/>
      <c r="AG35" s="827"/>
      <c r="AH35" s="827"/>
      <c r="AI35" s="827"/>
      <c r="AJ35" s="827"/>
      <c r="AK35" s="827"/>
      <c r="AL35" s="827"/>
      <c r="AM35" s="827"/>
      <c r="AN35" s="298" t="s">
        <v>903</v>
      </c>
      <c r="AO35" s="552"/>
      <c r="AP35" s="1645"/>
      <c r="AQ35" s="1645"/>
      <c r="AV35" s="1645"/>
      <c r="AY35" s="553"/>
      <c r="BE35" s="1641"/>
      <c r="BF35" s="1641"/>
      <c r="BG35" s="1641"/>
      <c r="BH35" s="1641"/>
      <c r="BI35" s="1641"/>
      <c r="BJ35" s="1169">
        <v>34</v>
      </c>
    </row>
    <row s="1375" customFormat="1" customHeight="1" ht="35.699999999999996">
      <c r="A36" s="996"/>
      <c r="C36" s="1645"/>
      <c r="D36" s="1647"/>
      <c r="E36" s="1673" t="s">
        <v>92</v>
      </c>
      <c r="F36" s="1670" t="s">
        <v>904</v>
      </c>
      <c r="G36" s="1663" t="s">
        <v>871</v>
      </c>
      <c r="H36" s="554"/>
      <c r="I36" s="554"/>
      <c r="J36" s="554"/>
      <c r="K36" s="554"/>
      <c r="L36" s="554"/>
      <c r="M36" s="554"/>
      <c r="N36" s="554"/>
      <c r="O36" s="554"/>
      <c r="P36" s="554"/>
      <c r="Q36" s="554"/>
      <c r="R36" s="554"/>
      <c r="S36" s="554"/>
      <c r="T36" s="554"/>
      <c r="U36" s="554"/>
      <c r="V36" s="554"/>
      <c r="W36" s="554"/>
      <c r="X36" s="554"/>
      <c r="Y36" s="554"/>
      <c r="Z36" s="554"/>
      <c r="AA36" s="554"/>
      <c r="AB36" s="554"/>
      <c r="AC36" s="554"/>
      <c r="AD36" s="554"/>
      <c r="AE36" s="554"/>
      <c r="AF36" s="554"/>
      <c r="AG36" s="554"/>
      <c r="AH36" s="554"/>
      <c r="AI36" s="554"/>
      <c r="AJ36" s="554"/>
      <c r="AK36" s="554"/>
      <c r="AL36" s="554"/>
      <c r="AM36" s="554"/>
      <c r="AN36" s="298" t="s">
        <v>872</v>
      </c>
      <c r="AO36" s="552"/>
      <c r="AP36" s="1645"/>
      <c r="AQ36" s="1645"/>
      <c r="AV36" s="1645"/>
      <c r="AY36" s="553"/>
      <c r="BE36" s="1641"/>
      <c r="BF36" s="1641"/>
      <c r="BG36" s="1641"/>
      <c r="BH36" s="1641"/>
      <c r="BI36" s="1641"/>
      <c r="BJ36" s="1169">
        <v>34</v>
      </c>
    </row>
    <row s="1375" customFormat="1" customHeight="1" ht="24">
      <c r="A37" s="996"/>
      <c r="C37" s="1645"/>
      <c r="D37" s="1647"/>
      <c r="E37" s="1673" t="s">
        <v>93</v>
      </c>
      <c r="F37" s="1670" t="s">
        <v>905</v>
      </c>
      <c r="G37" s="1663" t="s">
        <v>874</v>
      </c>
      <c r="H37" s="554"/>
      <c r="I37" s="554"/>
      <c r="J37" s="554"/>
      <c r="K37" s="554"/>
      <c r="L37" s="554"/>
      <c r="M37" s="554"/>
      <c r="N37" s="554"/>
      <c r="O37" s="554"/>
      <c r="P37" s="554"/>
      <c r="Q37" s="554"/>
      <c r="R37" s="554"/>
      <c r="S37" s="554"/>
      <c r="T37" s="554"/>
      <c r="U37" s="554"/>
      <c r="V37" s="554"/>
      <c r="W37" s="554"/>
      <c r="X37" s="554"/>
      <c r="Y37" s="554"/>
      <c r="Z37" s="554"/>
      <c r="AA37" s="554"/>
      <c r="AB37" s="554"/>
      <c r="AC37" s="554"/>
      <c r="AD37" s="554"/>
      <c r="AE37" s="554"/>
      <c r="AF37" s="554"/>
      <c r="AG37" s="554"/>
      <c r="AH37" s="554"/>
      <c r="AI37" s="554"/>
      <c r="AJ37" s="554"/>
      <c r="AK37" s="554"/>
      <c r="AL37" s="554"/>
      <c r="AM37" s="554"/>
      <c r="AN37" s="298" t="s">
        <v>875</v>
      </c>
      <c r="AO37" s="552"/>
      <c r="AP37" s="1645"/>
      <c r="AQ37" s="1645"/>
      <c r="AV37" s="1645"/>
      <c r="AY37" s="553"/>
      <c r="BE37" s="1641"/>
      <c r="BF37" s="1641"/>
      <c r="BG37" s="1641"/>
      <c r="BH37" s="1641"/>
      <c r="BI37" s="1641"/>
      <c r="BJ37" s="1169">
        <v>23</v>
      </c>
    </row>
    <row customHeight="1" ht="11.549999999999999">
      <c r="D38" s="1647"/>
      <c r="J38" s="1644"/>
      <c r="K38" s="1644"/>
      <c r="L38" s="1644"/>
      <c r="M38" s="1644"/>
      <c r="N38" s="1644"/>
      <c r="O38" s="1644"/>
      <c r="P38" s="1644"/>
      <c r="Q38" s="1644"/>
      <c r="R38" s="1644"/>
      <c r="S38" s="1644"/>
      <c r="T38" s="1644"/>
      <c r="U38" s="1644"/>
      <c r="V38" s="1644"/>
      <c r="W38" s="1644"/>
      <c r="X38" s="1644"/>
      <c r="Y38" s="1644"/>
      <c r="Z38" s="1644"/>
      <c r="AA38" s="1644"/>
      <c r="AB38" s="1644"/>
      <c r="AC38" s="1644"/>
      <c r="AD38" s="1644"/>
      <c r="AE38" s="1644"/>
      <c r="AF38" s="1644"/>
      <c r="AG38" s="1644"/>
      <c r="AH38" s="1644"/>
      <c r="AI38" s="1644"/>
      <c r="AJ38" s="1644"/>
      <c r="AK38" s="1644"/>
      <c r="AL38" s="1644"/>
      <c r="AM38" s="1644"/>
      <c r="BJ38" s="1640">
        <v>11</v>
      </c>
    </row>
    <row customHeight="1" ht="27.299999999999997">
      <c r="D39" s="1647"/>
      <c r="E39" s="1262" t="s">
        <v>906</v>
      </c>
      <c r="F39" s="2294" t="s">
        <v>907</v>
      </c>
      <c r="G39" s="2294"/>
      <c r="H39" s="378"/>
      <c r="I39" s="378"/>
      <c r="J39" s="1696"/>
      <c r="K39" s="1696"/>
      <c r="L39" s="1696"/>
      <c r="M39" s="1696"/>
      <c r="N39" s="1696"/>
      <c r="O39" s="1696"/>
      <c r="P39" s="1696"/>
      <c r="Q39" s="1696"/>
      <c r="R39" s="1696"/>
      <c r="S39" s="1696"/>
      <c r="T39" s="1696"/>
      <c r="U39" s="1696"/>
      <c r="V39" s="1696"/>
      <c r="W39" s="1696"/>
      <c r="X39" s="1696"/>
      <c r="Y39" s="1696"/>
      <c r="Z39" s="1696"/>
      <c r="AA39" s="1696"/>
      <c r="AB39" s="1696"/>
      <c r="AC39" s="1696"/>
      <c r="AD39" s="1696"/>
      <c r="AE39" s="1696"/>
      <c r="AF39" s="1696"/>
      <c r="AG39" s="1696"/>
      <c r="AH39" s="1696"/>
      <c r="AI39" s="1696"/>
      <c r="AJ39" s="1696"/>
      <c r="AK39" s="1696"/>
      <c r="AL39" s="1696"/>
      <c r="AM39" s="1696"/>
      <c r="AN39" s="378"/>
      <c r="BJ39" s="1640">
        <v>26</v>
      </c>
    </row>
    <row s="1650" customFormat="1" customHeight="1" ht="39.75">
      <c r="A40" s="996"/>
      <c r="B40" s="1645"/>
      <c r="C40" s="1645"/>
      <c r="D40" s="360"/>
      <c r="F40" s="2294" t="s">
        <v>908</v>
      </c>
      <c r="G40" s="2294"/>
      <c r="H40" s="378"/>
      <c r="I40" s="378"/>
      <c r="J40" s="1696"/>
      <c r="K40" s="1696"/>
      <c r="L40" s="1696"/>
      <c r="M40" s="1696"/>
      <c r="N40" s="1696"/>
      <c r="O40" s="1696"/>
      <c r="P40" s="1696"/>
      <c r="Q40" s="1696"/>
      <c r="R40" s="1696"/>
      <c r="S40" s="1696"/>
      <c r="T40" s="1696"/>
      <c r="U40" s="1696"/>
      <c r="V40" s="1696"/>
      <c r="W40" s="1696"/>
      <c r="X40" s="1696"/>
      <c r="Y40" s="1696"/>
      <c r="Z40" s="1696"/>
      <c r="AA40" s="1696"/>
      <c r="AB40" s="1696"/>
      <c r="AC40" s="1696"/>
      <c r="AD40" s="1696"/>
      <c r="AE40" s="1696"/>
      <c r="AF40" s="1696"/>
      <c r="AG40" s="1696"/>
      <c r="AH40" s="1696"/>
      <c r="AI40" s="1696"/>
      <c r="AJ40" s="1696"/>
      <c r="AK40" s="1696"/>
      <c r="AL40" s="1696"/>
      <c r="AM40" s="1696"/>
      <c r="AN40" s="378"/>
      <c r="AO40" s="1169"/>
      <c r="AP40" s="1645"/>
      <c r="AQ40" s="1645"/>
      <c r="AR40" s="1169"/>
      <c r="AS40" s="1169"/>
      <c r="AT40" s="1169"/>
      <c r="AU40" s="1169"/>
      <c r="AV40" s="1645"/>
      <c r="AW40" s="1169"/>
      <c r="AX40" s="1169"/>
      <c r="AY40" s="553"/>
      <c r="AZ40" s="1169"/>
      <c r="BA40" s="1169"/>
      <c r="BB40" s="1169"/>
      <c r="BC40" s="1169"/>
      <c r="BD40" s="1169"/>
      <c r="BE40" s="1641"/>
      <c r="BF40" s="575"/>
      <c r="BG40" s="575"/>
      <c r="BH40" s="575"/>
      <c r="BI40" s="575"/>
      <c r="BJ40" s="1650">
        <v>38</v>
      </c>
    </row>
    <row s="1650" customFormat="1" customHeight="1" ht="11.549999999999999">
      <c r="A41" s="996"/>
      <c r="B41" s="1645"/>
      <c r="C41" s="1645"/>
      <c r="D41" s="360"/>
      <c r="J41" s="1650"/>
      <c r="K41" s="1650"/>
      <c r="L41" s="1650"/>
      <c r="M41" s="1650"/>
      <c r="N41" s="1650"/>
      <c r="O41" s="1650"/>
      <c r="P41" s="1650"/>
      <c r="Q41" s="1650"/>
      <c r="R41" s="1650"/>
      <c r="S41" s="1650"/>
      <c r="T41" s="1650"/>
      <c r="U41" s="1650"/>
      <c r="V41" s="1650"/>
      <c r="W41" s="1650"/>
      <c r="X41" s="1650"/>
      <c r="Y41" s="1650"/>
      <c r="Z41" s="1650"/>
      <c r="AA41" s="1650"/>
      <c r="AB41" s="1650"/>
      <c r="AC41" s="1650"/>
      <c r="AD41" s="1650"/>
      <c r="AE41" s="1650"/>
      <c r="AF41" s="1650"/>
      <c r="AG41" s="1650"/>
      <c r="AH41" s="1650"/>
      <c r="AI41" s="1650"/>
      <c r="AJ41" s="1650"/>
      <c r="AK41" s="1650"/>
      <c r="AL41" s="1650"/>
      <c r="AM41" s="1650"/>
      <c r="AO41" s="1169"/>
      <c r="AP41" s="1645"/>
      <c r="AQ41" s="1645"/>
      <c r="AR41" s="1169"/>
      <c r="AS41" s="1169"/>
      <c r="AT41" s="1169"/>
      <c r="AU41" s="1169"/>
      <c r="AV41" s="1645"/>
      <c r="AW41" s="1169"/>
      <c r="AX41" s="1169"/>
      <c r="AY41" s="553"/>
      <c r="AZ41" s="1169"/>
      <c r="BA41" s="1169"/>
      <c r="BB41" s="1169"/>
      <c r="BC41" s="1169"/>
      <c r="BD41" s="1169"/>
      <c r="BE41" s="1641"/>
      <c r="BF41" s="575"/>
      <c r="BG41" s="575"/>
      <c r="BH41" s="575"/>
      <c r="BI41" s="575"/>
      <c r="BJ41" s="1650">
        <v>11</v>
      </c>
    </row>
    <row s="1650" customFormat="1" customHeight="1" ht="11.549999999999999">
      <c r="A42" s="996"/>
      <c r="B42" s="1645"/>
      <c r="C42" s="1645"/>
      <c r="D42" s="36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1650"/>
      <c r="AJ42" s="1650"/>
      <c r="AK42" s="1650"/>
      <c r="AL42" s="1650"/>
      <c r="AM42" s="1650"/>
      <c r="AO42" s="1169"/>
      <c r="AP42" s="1645"/>
      <c r="AQ42" s="1645"/>
      <c r="AR42" s="1169"/>
      <c r="AS42" s="1169"/>
      <c r="AT42" s="1169"/>
      <c r="AU42" s="1169"/>
      <c r="AV42" s="1645"/>
      <c r="AW42" s="1169"/>
      <c r="AX42" s="1169"/>
      <c r="AY42" s="553"/>
      <c r="AZ42" s="1169"/>
      <c r="BA42" s="1169"/>
      <c r="BB42" s="1169"/>
      <c r="BC42" s="1169"/>
      <c r="BD42" s="1169"/>
      <c r="BE42" s="1641"/>
      <c r="BF42" s="575"/>
      <c r="BG42" s="575"/>
      <c r="BH42" s="575"/>
      <c r="BI42" s="575"/>
      <c r="BJ42" s="1650">
        <v>11</v>
      </c>
    </row>
    <row s="1650" customFormat="1" customHeight="1" ht="11.549999999999999">
      <c r="A43" s="996"/>
      <c r="B43" s="1645"/>
      <c r="C43" s="1645"/>
      <c r="D43" s="360"/>
      <c r="H43" s="575"/>
      <c r="I43" s="575"/>
      <c r="J43" s="631"/>
      <c r="K43" s="631"/>
      <c r="L43" s="631"/>
      <c r="M43" s="631"/>
      <c r="N43" s="631"/>
      <c r="O43" s="631"/>
      <c r="P43" s="631"/>
      <c r="Q43" s="631"/>
      <c r="R43" s="631"/>
      <c r="S43" s="631"/>
      <c r="T43" s="631"/>
      <c r="U43" s="631"/>
      <c r="V43" s="631"/>
      <c r="W43" s="631"/>
      <c r="X43" s="631"/>
      <c r="Y43" s="631"/>
      <c r="Z43" s="631"/>
      <c r="AA43" s="631"/>
      <c r="AB43" s="631"/>
      <c r="AC43" s="631"/>
      <c r="AD43" s="631"/>
      <c r="AE43" s="631"/>
      <c r="AF43" s="631"/>
      <c r="AG43" s="631"/>
      <c r="AH43" s="631"/>
      <c r="AI43" s="631"/>
      <c r="AJ43" s="631"/>
      <c r="AK43" s="631"/>
      <c r="AL43" s="631"/>
      <c r="AM43" s="631"/>
      <c r="AO43" s="1169"/>
      <c r="AP43" s="1645"/>
      <c r="AQ43" s="1645"/>
      <c r="AR43" s="1169"/>
      <c r="AS43" s="1169"/>
      <c r="AT43" s="1169"/>
      <c r="AU43" s="1169"/>
      <c r="AV43" s="1645"/>
      <c r="AW43" s="1169"/>
      <c r="AX43" s="1169"/>
      <c r="AY43" s="553"/>
      <c r="AZ43" s="1169"/>
      <c r="BA43" s="1169"/>
      <c r="BB43" s="1169"/>
      <c r="BC43" s="1169"/>
      <c r="BD43" s="1169"/>
      <c r="BE43" s="1641"/>
      <c r="BF43" s="575"/>
      <c r="BG43" s="575"/>
      <c r="BH43" s="575"/>
      <c r="BI43" s="575"/>
      <c r="BJ43" s="1650">
        <v>11</v>
      </c>
    </row>
    <row s="1650" customFormat="1" customHeight="1" ht="11.549999999999999">
      <c r="A44" s="996"/>
      <c r="B44" s="1645"/>
      <c r="C44" s="1645"/>
      <c r="D44" s="360"/>
      <c r="J44" s="1650"/>
      <c r="K44" s="1650"/>
      <c r="L44" s="1650"/>
      <c r="M44" s="1650"/>
      <c r="N44" s="1650"/>
      <c r="O44" s="1650"/>
      <c r="P44" s="1650"/>
      <c r="Q44" s="1650"/>
      <c r="R44" s="1650"/>
      <c r="S44" s="1650"/>
      <c r="T44" s="1650"/>
      <c r="U44" s="1650"/>
      <c r="V44" s="1650"/>
      <c r="W44" s="1650"/>
      <c r="X44" s="1650"/>
      <c r="Y44" s="1650"/>
      <c r="Z44" s="1650"/>
      <c r="AA44" s="1650"/>
      <c r="AB44" s="1650"/>
      <c r="AC44" s="1650"/>
      <c r="AD44" s="1650"/>
      <c r="AE44" s="1650"/>
      <c r="AF44" s="1650"/>
      <c r="AG44" s="1650"/>
      <c r="AH44" s="1650"/>
      <c r="AI44" s="1650"/>
      <c r="AJ44" s="1650"/>
      <c r="AK44" s="1650"/>
      <c r="AL44" s="1650"/>
      <c r="AM44" s="1650"/>
      <c r="AO44" s="1169"/>
      <c r="AP44" s="1645"/>
      <c r="AQ44" s="1645"/>
      <c r="AR44" s="1169"/>
      <c r="AS44" s="1169"/>
      <c r="AT44" s="1169"/>
      <c r="AU44" s="1169"/>
      <c r="AV44" s="1645"/>
      <c r="AW44" s="1169"/>
      <c r="AX44" s="1169"/>
      <c r="AY44" s="553"/>
      <c r="AZ44" s="1169"/>
      <c r="BA44" s="1169"/>
      <c r="BB44" s="1169"/>
      <c r="BC44" s="1169"/>
      <c r="BD44" s="1169"/>
      <c r="BE44" s="1641"/>
      <c r="BF44" s="575"/>
      <c r="BG44" s="575"/>
      <c r="BH44" s="575"/>
      <c r="BI44" s="575"/>
      <c r="BJ44" s="1650">
        <v>11</v>
      </c>
    </row>
    <row s="1650" customFormat="1" customHeight="1" ht="11.549999999999999">
      <c r="A45" s="996"/>
      <c r="B45" s="1645"/>
      <c r="C45" s="1645"/>
      <c r="D45" s="360"/>
      <c r="J45" s="1650"/>
      <c r="K45" s="1650"/>
      <c r="L45" s="1650"/>
      <c r="M45" s="1650"/>
      <c r="N45" s="1650"/>
      <c r="O45" s="1650"/>
      <c r="P45" s="1650"/>
      <c r="Q45" s="1650"/>
      <c r="R45" s="1650"/>
      <c r="S45" s="1650"/>
      <c r="T45" s="1650"/>
      <c r="U45" s="1650"/>
      <c r="V45" s="1650"/>
      <c r="W45" s="1650"/>
      <c r="X45" s="1650"/>
      <c r="Y45" s="1650"/>
      <c r="Z45" s="1650"/>
      <c r="AA45" s="1650"/>
      <c r="AB45" s="1650"/>
      <c r="AC45" s="1650"/>
      <c r="AD45" s="1650"/>
      <c r="AE45" s="1650"/>
      <c r="AF45" s="1650"/>
      <c r="AG45" s="1650"/>
      <c r="AH45" s="1650"/>
      <c r="AI45" s="1650"/>
      <c r="AJ45" s="1650"/>
      <c r="AK45" s="1650"/>
      <c r="AL45" s="1650"/>
      <c r="AM45" s="1650"/>
      <c r="AO45" s="1169"/>
      <c r="AP45" s="1645"/>
      <c r="AQ45" s="1645"/>
      <c r="AR45" s="1169"/>
      <c r="AS45" s="1169"/>
      <c r="AT45" s="1169"/>
      <c r="AU45" s="1169"/>
      <c r="AV45" s="1645"/>
      <c r="AW45" s="1169"/>
      <c r="AX45" s="1169"/>
      <c r="AY45" s="553"/>
      <c r="AZ45" s="1169"/>
      <c r="BA45" s="1169"/>
      <c r="BB45" s="1169"/>
      <c r="BC45" s="1169"/>
      <c r="BD45" s="1169"/>
      <c r="BE45" s="1641"/>
      <c r="BF45" s="575"/>
      <c r="BG45" s="575"/>
      <c r="BH45" s="575"/>
      <c r="BI45" s="575"/>
      <c r="BJ45" s="1650">
        <v>11</v>
      </c>
    </row>
    <row s="1650" customFormat="1" customHeight="1" ht="11.549999999999999">
      <c r="A46" s="996"/>
      <c r="B46" s="1645"/>
      <c r="C46" s="1645"/>
      <c r="D46" s="360"/>
      <c r="J46" s="1650"/>
      <c r="K46" s="1650"/>
      <c r="L46" s="1650"/>
      <c r="M46" s="1650"/>
      <c r="N46" s="1650"/>
      <c r="O46" s="1650"/>
      <c r="P46" s="1650"/>
      <c r="Q46" s="1650"/>
      <c r="R46" s="1650"/>
      <c r="S46" s="1650"/>
      <c r="T46" s="1650"/>
      <c r="U46" s="1650"/>
      <c r="V46" s="1650"/>
      <c r="W46" s="1650"/>
      <c r="X46" s="1650"/>
      <c r="Y46" s="1650"/>
      <c r="Z46" s="1650"/>
      <c r="AA46" s="1650"/>
      <c r="AB46" s="1650"/>
      <c r="AC46" s="1650"/>
      <c r="AD46" s="1650"/>
      <c r="AE46" s="1650"/>
      <c r="AF46" s="1650"/>
      <c r="AG46" s="1650"/>
      <c r="AH46" s="1650"/>
      <c r="AI46" s="1650"/>
      <c r="AJ46" s="1650"/>
      <c r="AK46" s="1650"/>
      <c r="AL46" s="1650"/>
      <c r="AM46" s="1650"/>
      <c r="AO46" s="1169"/>
      <c r="AP46" s="1645"/>
      <c r="AQ46" s="1645"/>
      <c r="AR46" s="1169"/>
      <c r="AS46" s="1169"/>
      <c r="AT46" s="1169"/>
      <c r="AU46" s="1169"/>
      <c r="AV46" s="1645"/>
      <c r="AW46" s="1169"/>
      <c r="AX46" s="1169"/>
      <c r="AY46" s="553"/>
      <c r="AZ46" s="1169"/>
      <c r="BA46" s="1169"/>
      <c r="BB46" s="1169"/>
      <c r="BC46" s="1169"/>
      <c r="BD46" s="1169"/>
      <c r="BE46" s="1641"/>
      <c r="BF46" s="575"/>
      <c r="BG46" s="575"/>
      <c r="BH46" s="575"/>
      <c r="BI46" s="575"/>
      <c r="BJ46" s="1650">
        <v>11</v>
      </c>
    </row>
    <row s="1650" customFormat="1" customHeight="1" ht="11.549999999999999">
      <c r="A47" s="996"/>
      <c r="B47" s="1645"/>
      <c r="C47" s="1645"/>
      <c r="D47" s="360"/>
      <c r="J47" s="1650"/>
      <c r="K47" s="1650"/>
      <c r="L47" s="1650"/>
      <c r="M47" s="1650"/>
      <c r="N47" s="1650"/>
      <c r="O47" s="1650"/>
      <c r="P47" s="1650"/>
      <c r="Q47" s="1650"/>
      <c r="R47" s="1650"/>
      <c r="S47" s="1650"/>
      <c r="T47" s="1650"/>
      <c r="U47" s="1650"/>
      <c r="V47" s="1650"/>
      <c r="W47" s="1650"/>
      <c r="X47" s="1650"/>
      <c r="Y47" s="1650"/>
      <c r="Z47" s="1650"/>
      <c r="AA47" s="1650"/>
      <c r="AB47" s="1650"/>
      <c r="AC47" s="1650"/>
      <c r="AD47" s="1650"/>
      <c r="AE47" s="1650"/>
      <c r="AF47" s="1650"/>
      <c r="AG47" s="1650"/>
      <c r="AH47" s="1650"/>
      <c r="AI47" s="1650"/>
      <c r="AJ47" s="1650"/>
      <c r="AK47" s="1650"/>
      <c r="AL47" s="1650"/>
      <c r="AM47" s="1650"/>
      <c r="AO47" s="1169"/>
      <c r="AP47" s="1645"/>
      <c r="AQ47" s="1645"/>
      <c r="AR47" s="1169"/>
      <c r="AS47" s="1169"/>
      <c r="AT47" s="1169"/>
      <c r="AU47" s="1169"/>
      <c r="AV47" s="1645"/>
      <c r="AW47" s="1169"/>
      <c r="AX47" s="1169"/>
      <c r="AY47" s="553"/>
      <c r="AZ47" s="1169"/>
      <c r="BA47" s="1169"/>
      <c r="BB47" s="1169"/>
      <c r="BC47" s="1169"/>
      <c r="BD47" s="1169"/>
      <c r="BE47" s="1641"/>
      <c r="BF47" s="575"/>
      <c r="BG47" s="575"/>
      <c r="BH47" s="575"/>
      <c r="BI47" s="575"/>
      <c r="BJ47" s="1650">
        <v>11</v>
      </c>
    </row>
    <row s="1650" customFormat="1" customHeight="1" ht="11.549999999999999">
      <c r="A48" s="996"/>
      <c r="B48" s="1645"/>
      <c r="C48" s="1645"/>
      <c r="D48" s="360"/>
      <c r="J48" s="1650"/>
      <c r="K48" s="1650"/>
      <c r="L48" s="1650"/>
      <c r="M48" s="1650"/>
      <c r="N48" s="1650"/>
      <c r="O48" s="1650"/>
      <c r="P48" s="1650"/>
      <c r="Q48" s="1650"/>
      <c r="R48" s="1650"/>
      <c r="S48" s="1650"/>
      <c r="T48" s="1650"/>
      <c r="U48" s="1650"/>
      <c r="V48" s="1650"/>
      <c r="W48" s="1650"/>
      <c r="X48" s="1650"/>
      <c r="Y48" s="1650"/>
      <c r="Z48" s="1650"/>
      <c r="AA48" s="1650"/>
      <c r="AB48" s="1650"/>
      <c r="AC48" s="1650"/>
      <c r="AD48" s="1650"/>
      <c r="AE48" s="1650"/>
      <c r="AF48" s="1650"/>
      <c r="AG48" s="1650"/>
      <c r="AH48" s="1650"/>
      <c r="AI48" s="1650"/>
      <c r="AJ48" s="1650"/>
      <c r="AK48" s="1650"/>
      <c r="AL48" s="1650"/>
      <c r="AM48" s="1650"/>
      <c r="AO48" s="1169"/>
      <c r="AP48" s="1645"/>
      <c r="AQ48" s="1645"/>
      <c r="AR48" s="1169"/>
      <c r="AS48" s="1169"/>
      <c r="AT48" s="1169"/>
      <c r="AU48" s="1169"/>
      <c r="AV48" s="1645"/>
      <c r="AW48" s="1169"/>
      <c r="AX48" s="1169"/>
      <c r="AY48" s="553"/>
      <c r="AZ48" s="1169"/>
      <c r="BA48" s="1169"/>
      <c r="BB48" s="1169"/>
      <c r="BC48" s="1169"/>
      <c r="BD48" s="1169"/>
      <c r="BE48" s="1641"/>
      <c r="BF48" s="575"/>
      <c r="BG48" s="575"/>
      <c r="BH48" s="575"/>
      <c r="BI48" s="575"/>
      <c r="BJ48" s="1650">
        <v>11</v>
      </c>
    </row>
    <row s="1650" customFormat="1" customHeight="1" ht="11.549999999999999">
      <c r="A49" s="996"/>
      <c r="B49" s="1645"/>
      <c r="C49" s="1645"/>
      <c r="D49" s="36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650"/>
      <c r="AM49" s="1650"/>
      <c r="AO49" s="1169"/>
      <c r="AP49" s="1645"/>
      <c r="AQ49" s="1645"/>
      <c r="AR49" s="1169"/>
      <c r="AS49" s="1169"/>
      <c r="AT49" s="1169"/>
      <c r="AU49" s="1169"/>
      <c r="AV49" s="1645"/>
      <c r="AW49" s="1169"/>
      <c r="AX49" s="1169"/>
      <c r="AY49" s="553"/>
      <c r="AZ49" s="1169"/>
      <c r="BA49" s="1169"/>
      <c r="BB49" s="1169"/>
      <c r="BC49" s="1169"/>
      <c r="BD49" s="1169"/>
      <c r="BE49" s="1641"/>
      <c r="BF49" s="575"/>
      <c r="BG49" s="575"/>
      <c r="BH49" s="575"/>
      <c r="BI49" s="575"/>
      <c r="BJ49" s="1650">
        <v>11</v>
      </c>
    </row>
    <row s="1650" customFormat="1" customHeight="1" ht="11.549999999999999">
      <c r="A50" s="996"/>
      <c r="B50" s="1645"/>
      <c r="C50" s="1645"/>
      <c r="D50" s="360"/>
      <c r="J50" s="1650"/>
      <c r="K50" s="1650"/>
      <c r="L50" s="1650"/>
      <c r="M50" s="165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650"/>
      <c r="AM50" s="1650"/>
      <c r="AO50" s="1169"/>
      <c r="AP50" s="1645"/>
      <c r="AQ50" s="1645"/>
      <c r="AR50" s="1169"/>
      <c r="AS50" s="1169"/>
      <c r="AT50" s="1169"/>
      <c r="AU50" s="1169"/>
      <c r="AV50" s="1645"/>
      <c r="AW50" s="1169"/>
      <c r="AX50" s="1169"/>
      <c r="AY50" s="553"/>
      <c r="AZ50" s="1169"/>
      <c r="BA50" s="1169"/>
      <c r="BB50" s="1169"/>
      <c r="BC50" s="1169"/>
      <c r="BD50" s="1169"/>
      <c r="BE50" s="1641"/>
      <c r="BF50" s="575"/>
      <c r="BG50" s="575"/>
      <c r="BH50" s="575"/>
      <c r="BI50" s="575"/>
      <c r="BJ50" s="1650">
        <v>11</v>
      </c>
    </row>
    <row s="1650" customFormat="1" customHeight="1" ht="11.549999999999999">
      <c r="A51" s="996"/>
      <c r="B51" s="1645"/>
      <c r="C51" s="1645"/>
      <c r="D51" s="36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650"/>
      <c r="AM51" s="1650"/>
      <c r="AO51" s="1169"/>
      <c r="AP51" s="1645"/>
      <c r="AQ51" s="1645"/>
      <c r="AR51" s="1169"/>
      <c r="AS51" s="1169"/>
      <c r="AT51" s="1169"/>
      <c r="AU51" s="1169"/>
      <c r="AV51" s="1645"/>
      <c r="AW51" s="1169"/>
      <c r="AX51" s="1169"/>
      <c r="AY51" s="553"/>
      <c r="AZ51" s="1169"/>
      <c r="BA51" s="1169"/>
      <c r="BB51" s="1169"/>
      <c r="BC51" s="1169"/>
      <c r="BD51" s="1169"/>
      <c r="BE51" s="1641"/>
      <c r="BF51" s="575"/>
      <c r="BG51" s="575"/>
      <c r="BH51" s="575"/>
      <c r="BI51" s="575"/>
      <c r="BJ51" s="1650">
        <v>11</v>
      </c>
    </row>
    <row s="1650" customFormat="1" customHeight="1" ht="11.549999999999999">
      <c r="A52" s="996"/>
      <c r="B52" s="1645"/>
      <c r="C52" s="1645"/>
      <c r="D52" s="36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650"/>
      <c r="AM52" s="1650"/>
      <c r="AO52" s="1169"/>
      <c r="AP52" s="1645"/>
      <c r="AQ52" s="1645"/>
      <c r="AR52" s="1169"/>
      <c r="AS52" s="1169"/>
      <c r="AT52" s="1169"/>
      <c r="AU52" s="1169"/>
      <c r="AV52" s="1645"/>
      <c r="AW52" s="1169"/>
      <c r="AX52" s="1169"/>
      <c r="AY52" s="553"/>
      <c r="AZ52" s="1169"/>
      <c r="BA52" s="1169"/>
      <c r="BB52" s="1169"/>
      <c r="BC52" s="1169"/>
      <c r="BD52" s="1169"/>
      <c r="BE52" s="1641"/>
      <c r="BF52" s="575"/>
      <c r="BG52" s="575"/>
      <c r="BH52" s="575"/>
      <c r="BI52" s="575"/>
      <c r="BJ52" s="1650">
        <v>11</v>
      </c>
    </row>
    <row s="1650" customFormat="1" customHeight="1" ht="11.549999999999999">
      <c r="A53" s="996"/>
      <c r="B53" s="1645"/>
      <c r="C53" s="1645"/>
      <c r="D53" s="36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650"/>
      <c r="AM53" s="1650"/>
      <c r="AO53" s="1169"/>
      <c r="AP53" s="1645"/>
      <c r="AQ53" s="1645"/>
      <c r="AR53" s="1169"/>
      <c r="AS53" s="1169"/>
      <c r="AT53" s="1169"/>
      <c r="AU53" s="1169"/>
      <c r="AV53" s="1645"/>
      <c r="AW53" s="1169"/>
      <c r="AX53" s="1169"/>
      <c r="AY53" s="553"/>
      <c r="AZ53" s="1169"/>
      <c r="BA53" s="1169"/>
      <c r="BB53" s="1169"/>
      <c r="BC53" s="1169"/>
      <c r="BD53" s="1169"/>
      <c r="BE53" s="1641"/>
      <c r="BF53" s="575"/>
      <c r="BG53" s="575"/>
      <c r="BH53" s="575"/>
      <c r="BI53" s="575"/>
      <c r="BJ53" s="1650">
        <v>11</v>
      </c>
    </row>
    <row s="1650" customFormat="1" customHeight="1" ht="11.549999999999999">
      <c r="A54" s="996"/>
      <c r="B54" s="1645"/>
      <c r="C54" s="1645"/>
      <c r="D54" s="36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650"/>
      <c r="AM54" s="1650"/>
      <c r="AO54" s="1169"/>
      <c r="AP54" s="1645"/>
      <c r="AQ54" s="1645"/>
      <c r="AR54" s="1169"/>
      <c r="AS54" s="1169"/>
      <c r="AT54" s="1169"/>
      <c r="AU54" s="1169"/>
      <c r="AV54" s="1645"/>
      <c r="AW54" s="1169"/>
      <c r="AX54" s="1169"/>
      <c r="AY54" s="553"/>
      <c r="AZ54" s="1169"/>
      <c r="BA54" s="1169"/>
      <c r="BB54" s="1169"/>
      <c r="BC54" s="1169"/>
      <c r="BD54" s="1169"/>
      <c r="BE54" s="1641"/>
      <c r="BF54" s="575"/>
      <c r="BG54" s="575"/>
      <c r="BH54" s="575"/>
      <c r="BI54" s="575"/>
      <c r="BJ54" s="1650">
        <v>11</v>
      </c>
    </row>
    <row s="1650" customFormat="1" customHeight="1" ht="11.549999999999999">
      <c r="A55" s="996"/>
      <c r="B55" s="1645"/>
      <c r="C55" s="1645"/>
      <c r="D55" s="36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650"/>
      <c r="AM55" s="1650"/>
      <c r="AO55" s="1169"/>
      <c r="AP55" s="1645"/>
      <c r="AQ55" s="1645"/>
      <c r="AR55" s="1169"/>
      <c r="AS55" s="1169"/>
      <c r="AT55" s="1169"/>
      <c r="AU55" s="1169"/>
      <c r="AV55" s="1645"/>
      <c r="AW55" s="1169"/>
      <c r="AX55" s="1169"/>
      <c r="AY55" s="553"/>
      <c r="AZ55" s="1169"/>
      <c r="BA55" s="1169"/>
      <c r="BB55" s="1169"/>
      <c r="BC55" s="1169"/>
      <c r="BD55" s="1169"/>
      <c r="BE55" s="1641"/>
      <c r="BF55" s="575"/>
      <c r="BG55" s="575"/>
      <c r="BH55" s="575"/>
      <c r="BI55" s="575"/>
      <c r="BJ55" s="1650">
        <v>11</v>
      </c>
    </row>
    <row s="1650" customFormat="1" customHeight="1" ht="11.549999999999999">
      <c r="A56" s="996"/>
      <c r="B56" s="1645"/>
      <c r="C56" s="1645"/>
      <c r="D56" s="360"/>
      <c r="J56" s="1650"/>
      <c r="K56" s="1650"/>
      <c r="L56" s="1650"/>
      <c r="M56" s="1650"/>
      <c r="N56" s="1650"/>
      <c r="O56" s="1650"/>
      <c r="P56" s="1650"/>
      <c r="Q56" s="1650"/>
      <c r="R56" s="1650"/>
      <c r="S56" s="1650"/>
      <c r="T56" s="1650"/>
      <c r="U56" s="1650"/>
      <c r="V56" s="1650"/>
      <c r="W56" s="1650"/>
      <c r="X56" s="1650"/>
      <c r="Y56" s="1650"/>
      <c r="Z56" s="1650"/>
      <c r="AA56" s="1650"/>
      <c r="AB56" s="1650"/>
      <c r="AC56" s="1650"/>
      <c r="AD56" s="1650"/>
      <c r="AE56" s="1650"/>
      <c r="AF56" s="1650"/>
      <c r="AG56" s="1650"/>
      <c r="AH56" s="1650"/>
      <c r="AI56" s="1650"/>
      <c r="AJ56" s="1650"/>
      <c r="AK56" s="1650"/>
      <c r="AL56" s="1650"/>
      <c r="AM56" s="1650"/>
      <c r="AO56" s="1169"/>
      <c r="AP56" s="1645"/>
      <c r="AQ56" s="1645"/>
      <c r="AR56" s="1169"/>
      <c r="AS56" s="1169"/>
      <c r="AT56" s="1169"/>
      <c r="AU56" s="1169"/>
      <c r="AV56" s="1645"/>
      <c r="AW56" s="1169"/>
      <c r="AX56" s="1169"/>
      <c r="AY56" s="553"/>
      <c r="AZ56" s="1169"/>
      <c r="BA56" s="1169"/>
      <c r="BB56" s="1169"/>
      <c r="BC56" s="1169"/>
      <c r="BD56" s="1169"/>
      <c r="BE56" s="1641"/>
      <c r="BF56" s="575"/>
      <c r="BG56" s="575"/>
      <c r="BH56" s="575"/>
      <c r="BI56" s="575"/>
      <c r="BJ56" s="1650">
        <v>11</v>
      </c>
    </row>
    <row s="1650" customFormat="1" customHeight="1" ht="11.549999999999999">
      <c r="A57" s="996"/>
      <c r="B57" s="1645"/>
      <c r="C57" s="1645"/>
      <c r="D57" s="36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650"/>
      <c r="AM57" s="1650"/>
      <c r="AO57" s="1169"/>
      <c r="AP57" s="1645"/>
      <c r="AQ57" s="1645"/>
      <c r="AR57" s="1169"/>
      <c r="AS57" s="1169"/>
      <c r="AT57" s="1169"/>
      <c r="AU57" s="1169"/>
      <c r="AV57" s="1645"/>
      <c r="AW57" s="1169"/>
      <c r="AX57" s="1169"/>
      <c r="AY57" s="553"/>
      <c r="AZ57" s="1169"/>
      <c r="BA57" s="1169"/>
      <c r="BB57" s="1169"/>
      <c r="BC57" s="1169"/>
      <c r="BD57" s="1169"/>
      <c r="BE57" s="1641"/>
      <c r="BF57" s="575"/>
      <c r="BG57" s="575"/>
      <c r="BH57" s="575"/>
      <c r="BI57" s="575"/>
      <c r="BJ57" s="1650">
        <v>11</v>
      </c>
    </row>
    <row s="1650" customFormat="1" customHeight="1" ht="11.549999999999999">
      <c r="A58" s="996"/>
      <c r="B58" s="1645"/>
      <c r="C58" s="1645"/>
      <c r="D58" s="36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650"/>
      <c r="AM58" s="1650"/>
      <c r="AO58" s="1169"/>
      <c r="AP58" s="1645"/>
      <c r="AQ58" s="1645"/>
      <c r="AR58" s="1169"/>
      <c r="AS58" s="1169"/>
      <c r="AT58" s="1169"/>
      <c r="AU58" s="1169"/>
      <c r="AV58" s="1645"/>
      <c r="AW58" s="1169"/>
      <c r="AX58" s="1169"/>
      <c r="AY58" s="553"/>
      <c r="AZ58" s="1169"/>
      <c r="BA58" s="1169"/>
      <c r="BB58" s="1169"/>
      <c r="BC58" s="1169"/>
      <c r="BD58" s="1169"/>
      <c r="BE58" s="1641"/>
      <c r="BF58" s="575"/>
      <c r="BG58" s="575"/>
      <c r="BH58" s="575"/>
      <c r="BI58" s="575"/>
      <c r="BJ58" s="1650">
        <v>11</v>
      </c>
    </row>
    <row s="1650" customFormat="1" customHeight="1" ht="11.549999999999999">
      <c r="A59" s="996"/>
      <c r="B59" s="1645"/>
      <c r="C59" s="1645"/>
      <c r="D59" s="36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650"/>
      <c r="AM59" s="1650"/>
      <c r="AO59" s="1169"/>
      <c r="AP59" s="1645"/>
      <c r="AQ59" s="1645"/>
      <c r="AR59" s="1169"/>
      <c r="AS59" s="1169"/>
      <c r="AT59" s="1169"/>
      <c r="AU59" s="1169"/>
      <c r="AV59" s="1645"/>
      <c r="AW59" s="1169"/>
      <c r="AX59" s="1169"/>
      <c r="AY59" s="553"/>
      <c r="AZ59" s="1169"/>
      <c r="BA59" s="1169"/>
      <c r="BB59" s="1169"/>
      <c r="BC59" s="1169"/>
      <c r="BD59" s="1169"/>
      <c r="BE59" s="1641"/>
      <c r="BF59" s="575"/>
      <c r="BG59" s="575"/>
      <c r="BH59" s="575"/>
      <c r="BI59" s="575"/>
      <c r="BJ59" s="1650">
        <v>11</v>
      </c>
    </row>
    <row s="1650" customFormat="1" customHeight="1" ht="11.549999999999999">
      <c r="A60" s="996"/>
      <c r="B60" s="1645"/>
      <c r="C60" s="1645"/>
      <c r="D60" s="36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O60" s="1169"/>
      <c r="AP60" s="1645"/>
      <c r="AQ60" s="1645"/>
      <c r="AR60" s="1169"/>
      <c r="AS60" s="1169"/>
      <c r="AT60" s="1169"/>
      <c r="AU60" s="1169"/>
      <c r="AV60" s="1645"/>
      <c r="AW60" s="1169"/>
      <c r="AX60" s="1169"/>
      <c r="AY60" s="553"/>
      <c r="AZ60" s="1169"/>
      <c r="BA60" s="1169"/>
      <c r="BB60" s="1169"/>
      <c r="BC60" s="1169"/>
      <c r="BD60" s="1169"/>
      <c r="BE60" s="1641"/>
      <c r="BF60" s="575"/>
      <c r="BG60" s="575"/>
      <c r="BH60" s="575"/>
      <c r="BI60" s="575"/>
      <c r="BJ60" s="1650">
        <v>11</v>
      </c>
    </row>
    <row s="1650" customFormat="1" customHeight="1" ht="11.549999999999999">
      <c r="A61" s="996"/>
      <c r="B61" s="1645"/>
      <c r="C61" s="1645"/>
      <c r="D61" s="360"/>
      <c r="J61" s="1650"/>
      <c r="K61" s="1650"/>
      <c r="L61" s="1650"/>
      <c r="M61" s="1650"/>
      <c r="N61" s="1650"/>
      <c r="O61" s="1650"/>
      <c r="P61" s="1650"/>
      <c r="Q61" s="1650"/>
      <c r="R61" s="1650"/>
      <c r="S61" s="1650"/>
      <c r="T61" s="1650"/>
      <c r="U61" s="1650"/>
      <c r="V61" s="1650"/>
      <c r="W61" s="1650"/>
      <c r="X61" s="1650"/>
      <c r="Y61" s="1650"/>
      <c r="Z61" s="1650"/>
      <c r="AA61" s="1650"/>
      <c r="AB61" s="1650"/>
      <c r="AC61" s="1650"/>
      <c r="AD61" s="1650"/>
      <c r="AE61" s="1650"/>
      <c r="AF61" s="1650"/>
      <c r="AG61" s="1650"/>
      <c r="AH61" s="1650"/>
      <c r="AI61" s="1650"/>
      <c r="AJ61" s="1650"/>
      <c r="AK61" s="1650"/>
      <c r="AL61" s="1650"/>
      <c r="AM61" s="1650"/>
      <c r="AO61" s="1169"/>
      <c r="AP61" s="1645"/>
      <c r="AQ61" s="1645"/>
      <c r="AR61" s="1169"/>
      <c r="AS61" s="1169"/>
      <c r="AT61" s="1169"/>
      <c r="AU61" s="1169"/>
      <c r="AV61" s="1645"/>
      <c r="AW61" s="1169"/>
      <c r="AX61" s="1169"/>
      <c r="AY61" s="553"/>
      <c r="AZ61" s="1169"/>
      <c r="BA61" s="1169"/>
      <c r="BB61" s="1169"/>
      <c r="BC61" s="1169"/>
      <c r="BD61" s="1169"/>
      <c r="BE61" s="1641"/>
      <c r="BF61" s="575"/>
      <c r="BG61" s="575"/>
      <c r="BH61" s="575"/>
      <c r="BI61" s="575"/>
      <c r="BJ61" s="1650">
        <v>11</v>
      </c>
    </row>
    <row s="1650" customFormat="1" customHeight="1" ht="11.549999999999999">
      <c r="A62" s="996"/>
      <c r="B62" s="1645"/>
      <c r="C62" s="1645"/>
      <c r="D62" s="360"/>
      <c r="J62" s="1650"/>
      <c r="K62" s="1650"/>
      <c r="L62" s="1650"/>
      <c r="M62" s="1650"/>
      <c r="N62" s="1650"/>
      <c r="O62" s="1650"/>
      <c r="P62" s="1650"/>
      <c r="Q62" s="1650"/>
      <c r="R62" s="1650"/>
      <c r="S62" s="1650"/>
      <c r="T62" s="1650"/>
      <c r="U62" s="1650"/>
      <c r="V62" s="1650"/>
      <c r="W62" s="1650"/>
      <c r="X62" s="1650"/>
      <c r="Y62" s="1650"/>
      <c r="Z62" s="1650"/>
      <c r="AA62" s="1650"/>
      <c r="AB62" s="1650"/>
      <c r="AC62" s="1650"/>
      <c r="AD62" s="1650"/>
      <c r="AE62" s="1650"/>
      <c r="AF62" s="1650"/>
      <c r="AG62" s="1650"/>
      <c r="AH62" s="1650"/>
      <c r="AI62" s="1650"/>
      <c r="AJ62" s="1650"/>
      <c r="AK62" s="1650"/>
      <c r="AL62" s="1650"/>
      <c r="AM62" s="1650"/>
      <c r="AO62" s="1169"/>
      <c r="AP62" s="1645"/>
      <c r="AQ62" s="1645"/>
      <c r="AR62" s="1169"/>
      <c r="AS62" s="1169"/>
      <c r="AT62" s="1169"/>
      <c r="AU62" s="1169"/>
      <c r="AV62" s="1645"/>
      <c r="AW62" s="1169"/>
      <c r="AX62" s="1169"/>
      <c r="AY62" s="553"/>
      <c r="AZ62" s="1169"/>
      <c r="BA62" s="1169"/>
      <c r="BB62" s="1169"/>
      <c r="BC62" s="1169"/>
      <c r="BD62" s="1169"/>
      <c r="BE62" s="1641"/>
      <c r="BF62" s="575"/>
      <c r="BG62" s="575"/>
      <c r="BH62" s="575"/>
      <c r="BI62" s="575"/>
      <c r="BJ62" s="1650">
        <v>11</v>
      </c>
    </row>
    <row s="1650" customFormat="1" customHeight="1" ht="11.549999999999999">
      <c r="A63" s="996"/>
      <c r="B63" s="1645"/>
      <c r="C63" s="1645"/>
      <c r="D63" s="360"/>
      <c r="J63" s="1650"/>
      <c r="K63" s="1650"/>
      <c r="L63" s="1650"/>
      <c r="M63" s="1650"/>
      <c r="N63" s="1650"/>
      <c r="O63" s="1650"/>
      <c r="P63" s="1650"/>
      <c r="Q63" s="1650"/>
      <c r="R63" s="1650"/>
      <c r="S63" s="1650"/>
      <c r="T63" s="1650"/>
      <c r="U63" s="1650"/>
      <c r="V63" s="1650"/>
      <c r="W63" s="1650"/>
      <c r="X63" s="1650"/>
      <c r="Y63" s="1650"/>
      <c r="Z63" s="1650"/>
      <c r="AA63" s="1650"/>
      <c r="AB63" s="1650"/>
      <c r="AC63" s="1650"/>
      <c r="AD63" s="1650"/>
      <c r="AE63" s="1650"/>
      <c r="AF63" s="1650"/>
      <c r="AG63" s="1650"/>
      <c r="AH63" s="1650"/>
      <c r="AI63" s="1650"/>
      <c r="AJ63" s="1650"/>
      <c r="AK63" s="1650"/>
      <c r="AL63" s="1650"/>
      <c r="AM63" s="1650"/>
      <c r="AO63" s="1169"/>
      <c r="AP63" s="1645"/>
      <c r="AQ63" s="1645"/>
      <c r="AR63" s="1169"/>
      <c r="AS63" s="1169"/>
      <c r="AT63" s="1169"/>
      <c r="AU63" s="1169"/>
      <c r="AV63" s="1645"/>
      <c r="AW63" s="1169"/>
      <c r="AX63" s="1169"/>
      <c r="AY63" s="553"/>
      <c r="AZ63" s="1169"/>
      <c r="BA63" s="1169"/>
      <c r="BB63" s="1169"/>
      <c r="BC63" s="1169"/>
      <c r="BD63" s="1169"/>
      <c r="BE63" s="1641"/>
      <c r="BF63" s="575"/>
      <c r="BG63" s="575"/>
      <c r="BH63" s="575"/>
      <c r="BI63" s="575"/>
      <c r="BJ63" s="1650">
        <v>11</v>
      </c>
    </row>
    <row s="1650" customFormat="1" customHeight="1" ht="11.549999999999999">
      <c r="A64" s="996"/>
      <c r="B64" s="1645"/>
      <c r="C64" s="1645"/>
      <c r="D64" s="360"/>
      <c r="J64" s="1650"/>
      <c r="K64" s="1650"/>
      <c r="L64" s="1650"/>
      <c r="M64" s="1650"/>
      <c r="N64" s="1650"/>
      <c r="O64" s="1650"/>
      <c r="P64" s="1650"/>
      <c r="Q64" s="1650"/>
      <c r="R64" s="1650"/>
      <c r="S64" s="1650"/>
      <c r="T64" s="1650"/>
      <c r="U64" s="1650"/>
      <c r="V64" s="1650"/>
      <c r="W64" s="1650"/>
      <c r="X64" s="1650"/>
      <c r="Y64" s="1650"/>
      <c r="Z64" s="1650"/>
      <c r="AA64" s="1650"/>
      <c r="AB64" s="1650"/>
      <c r="AC64" s="1650"/>
      <c r="AD64" s="1650"/>
      <c r="AE64" s="1650"/>
      <c r="AF64" s="1650"/>
      <c r="AG64" s="1650"/>
      <c r="AH64" s="1650"/>
      <c r="AI64" s="1650"/>
      <c r="AJ64" s="1650"/>
      <c r="AK64" s="1650"/>
      <c r="AL64" s="1650"/>
      <c r="AM64" s="1650"/>
      <c r="AO64" s="1169"/>
      <c r="AP64" s="1645"/>
      <c r="AQ64" s="1645"/>
      <c r="AR64" s="1169"/>
      <c r="AS64" s="1169"/>
      <c r="AT64" s="1169"/>
      <c r="AU64" s="1169"/>
      <c r="AV64" s="1645"/>
      <c r="AW64" s="1169"/>
      <c r="AX64" s="1169"/>
      <c r="AY64" s="553"/>
      <c r="AZ64" s="1169"/>
      <c r="BA64" s="1169"/>
      <c r="BB64" s="1169"/>
      <c r="BC64" s="1169"/>
      <c r="BD64" s="1169"/>
      <c r="BE64" s="1641"/>
      <c r="BF64" s="575"/>
      <c r="BG64" s="575"/>
      <c r="BH64" s="575"/>
      <c r="BI64" s="575"/>
      <c r="BJ64" s="1650">
        <v>11</v>
      </c>
    </row>
    <row s="1650" customFormat="1" customHeight="1" ht="11.549999999999999">
      <c r="A65" s="996"/>
      <c r="B65" s="1645"/>
      <c r="C65" s="1645"/>
      <c r="D65" s="360"/>
      <c r="J65" s="1650"/>
      <c r="K65" s="1650"/>
      <c r="L65" s="1650"/>
      <c r="M65" s="1650"/>
      <c r="N65" s="1650"/>
      <c r="O65" s="1650"/>
      <c r="P65" s="1650"/>
      <c r="Q65" s="1650"/>
      <c r="R65" s="1650"/>
      <c r="S65" s="1650"/>
      <c r="T65" s="1650"/>
      <c r="U65" s="1650"/>
      <c r="V65" s="1650"/>
      <c r="W65" s="1650"/>
      <c r="X65" s="1650"/>
      <c r="Y65" s="1650"/>
      <c r="Z65" s="1650"/>
      <c r="AA65" s="1650"/>
      <c r="AB65" s="1650"/>
      <c r="AC65" s="1650"/>
      <c r="AD65" s="1650"/>
      <c r="AE65" s="1650"/>
      <c r="AF65" s="1650"/>
      <c r="AG65" s="1650"/>
      <c r="AH65" s="1650"/>
      <c r="AI65" s="1650"/>
      <c r="AJ65" s="1650"/>
      <c r="AK65" s="1650"/>
      <c r="AL65" s="1650"/>
      <c r="AM65" s="1650"/>
      <c r="AO65" s="1169"/>
      <c r="AP65" s="1645"/>
      <c r="AQ65" s="1645"/>
      <c r="AR65" s="1169"/>
      <c r="AS65" s="1169"/>
      <c r="AT65" s="1169"/>
      <c r="AU65" s="1169"/>
      <c r="AV65" s="1645"/>
      <c r="AW65" s="1169"/>
      <c r="AX65" s="1169"/>
      <c r="AY65" s="553"/>
      <c r="AZ65" s="1169"/>
      <c r="BA65" s="1169"/>
      <c r="BB65" s="1169"/>
      <c r="BC65" s="1169"/>
      <c r="BD65" s="1169"/>
      <c r="BE65" s="1641"/>
      <c r="BF65" s="575"/>
      <c r="BG65" s="575"/>
      <c r="BH65" s="575"/>
      <c r="BI65" s="575"/>
      <c r="BJ65" s="1650">
        <v>11</v>
      </c>
    </row>
    <row s="1650" customFormat="1" customHeight="1" ht="11.549999999999999">
      <c r="A66" s="996"/>
      <c r="B66" s="1645"/>
      <c r="C66" s="1645"/>
      <c r="D66" s="360"/>
      <c r="J66" s="1650"/>
      <c r="K66" s="1650"/>
      <c r="L66" s="1650"/>
      <c r="M66" s="1650"/>
      <c r="N66" s="1650"/>
      <c r="O66" s="1650"/>
      <c r="P66" s="1650"/>
      <c r="Q66" s="1650"/>
      <c r="R66" s="1650"/>
      <c r="S66" s="1650"/>
      <c r="T66" s="1650"/>
      <c r="U66" s="1650"/>
      <c r="V66" s="1650"/>
      <c r="W66" s="1650"/>
      <c r="X66" s="1650"/>
      <c r="Y66" s="1650"/>
      <c r="Z66" s="1650"/>
      <c r="AA66" s="1650"/>
      <c r="AB66" s="1650"/>
      <c r="AC66" s="1650"/>
      <c r="AD66" s="1650"/>
      <c r="AE66" s="1650"/>
      <c r="AF66" s="1650"/>
      <c r="AG66" s="1650"/>
      <c r="AH66" s="1650"/>
      <c r="AI66" s="1650"/>
      <c r="AJ66" s="1650"/>
      <c r="AK66" s="1650"/>
      <c r="AL66" s="1650"/>
      <c r="AM66" s="1650"/>
      <c r="AO66" s="1169"/>
      <c r="AP66" s="1645"/>
      <c r="AQ66" s="1645"/>
      <c r="AR66" s="1169"/>
      <c r="AS66" s="1169"/>
      <c r="AT66" s="1169"/>
      <c r="AU66" s="1169"/>
      <c r="AV66" s="1645"/>
      <c r="AW66" s="1169"/>
      <c r="AX66" s="1169"/>
      <c r="AY66" s="553"/>
      <c r="AZ66" s="1169"/>
      <c r="BA66" s="1169"/>
      <c r="BB66" s="1169"/>
      <c r="BC66" s="1169"/>
      <c r="BD66" s="1169"/>
      <c r="BE66" s="1641"/>
      <c r="BF66" s="575"/>
      <c r="BG66" s="575"/>
      <c r="BH66" s="575"/>
      <c r="BI66" s="575"/>
      <c r="BJ66" s="1650">
        <v>11</v>
      </c>
    </row>
    <row s="1650" customFormat="1" customHeight="1" ht="11.549999999999999">
      <c r="A67" s="996"/>
      <c r="B67" s="1645"/>
      <c r="C67" s="1645"/>
      <c r="D67" s="360"/>
      <c r="J67" s="1650"/>
      <c r="K67" s="1650"/>
      <c r="L67" s="1650"/>
      <c r="M67" s="1650"/>
      <c r="N67" s="1650"/>
      <c r="O67" s="1650"/>
      <c r="P67" s="1650"/>
      <c r="Q67" s="1650"/>
      <c r="R67" s="1650"/>
      <c r="S67" s="1650"/>
      <c r="T67" s="1650"/>
      <c r="U67" s="1650"/>
      <c r="V67" s="1650"/>
      <c r="W67" s="1650"/>
      <c r="X67" s="1650"/>
      <c r="Y67" s="1650"/>
      <c r="Z67" s="1650"/>
      <c r="AA67" s="1650"/>
      <c r="AB67" s="1650"/>
      <c r="AC67" s="1650"/>
      <c r="AD67" s="1650"/>
      <c r="AE67" s="1650"/>
      <c r="AF67" s="1650"/>
      <c r="AG67" s="1650"/>
      <c r="AH67" s="1650"/>
      <c r="AI67" s="1650"/>
      <c r="AJ67" s="1650"/>
      <c r="AK67" s="1650"/>
      <c r="AL67" s="1650"/>
      <c r="AM67" s="1650"/>
      <c r="AO67" s="1169"/>
      <c r="AP67" s="1645"/>
      <c r="AQ67" s="1645"/>
      <c r="AR67" s="1169"/>
      <c r="AS67" s="1169"/>
      <c r="AT67" s="1169"/>
      <c r="AU67" s="1169"/>
      <c r="AV67" s="1645"/>
      <c r="AW67" s="1169"/>
      <c r="AX67" s="1169"/>
      <c r="AY67" s="553"/>
      <c r="AZ67" s="1169"/>
      <c r="BA67" s="1169"/>
      <c r="BB67" s="1169"/>
      <c r="BC67" s="1169"/>
      <c r="BD67" s="1169"/>
      <c r="BE67" s="1641"/>
      <c r="BF67" s="575"/>
      <c r="BG67" s="575"/>
      <c r="BH67" s="575"/>
      <c r="BI67" s="575"/>
      <c r="BJ67" s="1650">
        <v>11</v>
      </c>
    </row>
    <row s="1650" customFormat="1" customHeight="1" ht="11.549999999999999">
      <c r="A68" s="996"/>
      <c r="B68" s="1645"/>
      <c r="C68" s="1645"/>
      <c r="D68" s="360"/>
      <c r="J68" s="1650"/>
      <c r="K68" s="1650"/>
      <c r="L68" s="1650"/>
      <c r="M68" s="1650"/>
      <c r="N68" s="1650"/>
      <c r="O68" s="1650"/>
      <c r="P68" s="1650"/>
      <c r="Q68" s="1650"/>
      <c r="R68" s="1650"/>
      <c r="S68" s="1650"/>
      <c r="T68" s="1650"/>
      <c r="U68" s="1650"/>
      <c r="V68" s="1650"/>
      <c r="W68" s="1650"/>
      <c r="X68" s="1650"/>
      <c r="Y68" s="1650"/>
      <c r="Z68" s="1650"/>
      <c r="AA68" s="1650"/>
      <c r="AB68" s="1650"/>
      <c r="AC68" s="1650"/>
      <c r="AD68" s="1650"/>
      <c r="AE68" s="1650"/>
      <c r="AF68" s="1650"/>
      <c r="AG68" s="1650"/>
      <c r="AH68" s="1650"/>
      <c r="AI68" s="1650"/>
      <c r="AJ68" s="1650"/>
      <c r="AK68" s="1650"/>
      <c r="AL68" s="1650"/>
      <c r="AM68" s="1650"/>
      <c r="AO68" s="1169"/>
      <c r="AP68" s="1645"/>
      <c r="AQ68" s="1645"/>
      <c r="AR68" s="1169"/>
      <c r="AS68" s="1169"/>
      <c r="AT68" s="1169"/>
      <c r="AU68" s="1169"/>
      <c r="AV68" s="1645"/>
      <c r="AW68" s="1169"/>
      <c r="AX68" s="1169"/>
      <c r="AY68" s="553"/>
      <c r="AZ68" s="1169"/>
      <c r="BA68" s="1169"/>
      <c r="BB68" s="1169"/>
      <c r="BC68" s="1169"/>
      <c r="BD68" s="1169"/>
      <c r="BE68" s="1641"/>
      <c r="BF68" s="575"/>
      <c r="BG68" s="575"/>
      <c r="BH68" s="575"/>
      <c r="BI68" s="575"/>
      <c r="BJ68" s="1650">
        <v>11</v>
      </c>
    </row>
    <row s="1650" customFormat="1" customHeight="1" ht="11.549999999999999">
      <c r="A69" s="996"/>
      <c r="B69" s="1645"/>
      <c r="C69" s="1645"/>
      <c r="D69" s="360"/>
      <c r="J69" s="1650"/>
      <c r="K69" s="1650"/>
      <c r="L69" s="1650"/>
      <c r="M69" s="1650"/>
      <c r="N69" s="1650"/>
      <c r="O69" s="1650"/>
      <c r="P69" s="1650"/>
      <c r="Q69" s="1650"/>
      <c r="R69" s="1650"/>
      <c r="S69" s="1650"/>
      <c r="T69" s="1650"/>
      <c r="U69" s="1650"/>
      <c r="V69" s="1650"/>
      <c r="W69" s="1650"/>
      <c r="X69" s="1650"/>
      <c r="Y69" s="1650"/>
      <c r="Z69" s="1650"/>
      <c r="AA69" s="1650"/>
      <c r="AB69" s="1650"/>
      <c r="AC69" s="1650"/>
      <c r="AD69" s="1650"/>
      <c r="AE69" s="1650"/>
      <c r="AF69" s="1650"/>
      <c r="AG69" s="1650"/>
      <c r="AH69" s="1650"/>
      <c r="AI69" s="1650"/>
      <c r="AJ69" s="1650"/>
      <c r="AK69" s="1650"/>
      <c r="AL69" s="1650"/>
      <c r="AM69" s="1650"/>
      <c r="AO69" s="1169"/>
      <c r="AP69" s="1645"/>
      <c r="AQ69" s="1645"/>
      <c r="AR69" s="1169"/>
      <c r="AS69" s="1169"/>
      <c r="AT69" s="1169"/>
      <c r="AU69" s="1169"/>
      <c r="AV69" s="1645"/>
      <c r="AW69" s="1169"/>
      <c r="AX69" s="1169"/>
      <c r="AY69" s="553"/>
      <c r="AZ69" s="1169"/>
      <c r="BA69" s="1169"/>
      <c r="BB69" s="1169"/>
      <c r="BC69" s="1169"/>
      <c r="BD69" s="1169"/>
      <c r="BE69" s="1641"/>
      <c r="BF69" s="575"/>
      <c r="BG69" s="575"/>
      <c r="BH69" s="575"/>
      <c r="BI69" s="575"/>
      <c r="BJ69" s="1650">
        <v>11</v>
      </c>
    </row>
    <row s="1650" customFormat="1" customHeight="1" ht="11.549999999999999">
      <c r="A70" s="996"/>
      <c r="B70" s="1645"/>
      <c r="C70" s="1645"/>
      <c r="D70" s="360"/>
      <c r="J70" s="1650"/>
      <c r="K70" s="1650"/>
      <c r="L70" s="1650"/>
      <c r="M70" s="1650"/>
      <c r="N70" s="1650"/>
      <c r="O70" s="1650"/>
      <c r="P70" s="1650"/>
      <c r="Q70" s="1650"/>
      <c r="R70" s="1650"/>
      <c r="S70" s="1650"/>
      <c r="T70" s="1650"/>
      <c r="U70" s="1650"/>
      <c r="V70" s="1650"/>
      <c r="W70" s="1650"/>
      <c r="X70" s="1650"/>
      <c r="Y70" s="1650"/>
      <c r="Z70" s="1650"/>
      <c r="AA70" s="1650"/>
      <c r="AB70" s="1650"/>
      <c r="AC70" s="1650"/>
      <c r="AD70" s="1650"/>
      <c r="AE70" s="1650"/>
      <c r="AF70" s="1650"/>
      <c r="AG70" s="1650"/>
      <c r="AH70" s="1650"/>
      <c r="AI70" s="1650"/>
      <c r="AJ70" s="1650"/>
      <c r="AK70" s="1650"/>
      <c r="AL70" s="1650"/>
      <c r="AM70" s="1650"/>
      <c r="AO70" s="1169"/>
      <c r="AP70" s="1645"/>
      <c r="AQ70" s="1645"/>
      <c r="AR70" s="1169"/>
      <c r="AS70" s="1169"/>
      <c r="AT70" s="1169"/>
      <c r="AU70" s="1169"/>
      <c r="AV70" s="1645"/>
      <c r="AW70" s="1169"/>
      <c r="AX70" s="1169"/>
      <c r="AY70" s="553"/>
      <c r="AZ70" s="1169"/>
      <c r="BA70" s="1169"/>
      <c r="BB70" s="1169"/>
      <c r="BC70" s="1169"/>
      <c r="BD70" s="1169"/>
      <c r="BE70" s="1641"/>
      <c r="BF70" s="575"/>
      <c r="BG70" s="575"/>
      <c r="BH70" s="575"/>
      <c r="BI70" s="575"/>
      <c r="BJ70" s="1650">
        <v>11</v>
      </c>
    </row>
    <row s="1650" customFormat="1" customHeight="1" ht="11.549999999999999">
      <c r="A71" s="996"/>
      <c r="B71" s="1645"/>
      <c r="C71" s="1645"/>
      <c r="D71" s="360"/>
      <c r="J71" s="1650"/>
      <c r="K71" s="1650"/>
      <c r="L71" s="1650"/>
      <c r="M71" s="1650"/>
      <c r="N71" s="1650"/>
      <c r="O71" s="1650"/>
      <c r="P71" s="1650"/>
      <c r="Q71" s="1650"/>
      <c r="R71" s="1650"/>
      <c r="S71" s="1650"/>
      <c r="T71" s="1650"/>
      <c r="U71" s="1650"/>
      <c r="V71" s="1650"/>
      <c r="W71" s="1650"/>
      <c r="X71" s="1650"/>
      <c r="Y71" s="1650"/>
      <c r="Z71" s="1650"/>
      <c r="AA71" s="1650"/>
      <c r="AB71" s="1650"/>
      <c r="AC71" s="1650"/>
      <c r="AD71" s="1650"/>
      <c r="AE71" s="1650"/>
      <c r="AF71" s="1650"/>
      <c r="AG71" s="1650"/>
      <c r="AH71" s="1650"/>
      <c r="AI71" s="1650"/>
      <c r="AJ71" s="1650"/>
      <c r="AK71" s="1650"/>
      <c r="AL71" s="1650"/>
      <c r="AM71" s="1650"/>
      <c r="AO71" s="1169"/>
      <c r="AP71" s="1645"/>
      <c r="AQ71" s="1645"/>
      <c r="AR71" s="1169"/>
      <c r="AS71" s="1169"/>
      <c r="AT71" s="1169"/>
      <c r="AU71" s="1169"/>
      <c r="AV71" s="1645"/>
      <c r="AW71" s="1169"/>
      <c r="AX71" s="1169"/>
      <c r="AY71" s="553"/>
      <c r="AZ71" s="1169"/>
      <c r="BA71" s="1169"/>
      <c r="BB71" s="1169"/>
      <c r="BC71" s="1169"/>
      <c r="BD71" s="1169"/>
      <c r="BE71" s="1641"/>
      <c r="BF71" s="575"/>
      <c r="BG71" s="575"/>
      <c r="BH71" s="575"/>
      <c r="BI71" s="575"/>
      <c r="BJ71" s="1650">
        <v>11</v>
      </c>
    </row>
    <row s="1650" customFormat="1" customHeight="1" ht="11.549999999999999">
      <c r="A72" s="996"/>
      <c r="B72" s="1645"/>
      <c r="C72" s="1645"/>
      <c r="D72" s="360"/>
      <c r="J72" s="1650"/>
      <c r="K72" s="1650"/>
      <c r="L72" s="1650"/>
      <c r="M72" s="1650"/>
      <c r="N72" s="1650"/>
      <c r="O72" s="1650"/>
      <c r="P72" s="1650"/>
      <c r="Q72" s="1650"/>
      <c r="R72" s="1650"/>
      <c r="S72" s="1650"/>
      <c r="T72" s="1650"/>
      <c r="U72" s="1650"/>
      <c r="V72" s="1650"/>
      <c r="W72" s="1650"/>
      <c r="X72" s="1650"/>
      <c r="Y72" s="1650"/>
      <c r="Z72" s="1650"/>
      <c r="AA72" s="1650"/>
      <c r="AB72" s="1650"/>
      <c r="AC72" s="1650"/>
      <c r="AD72" s="1650"/>
      <c r="AE72" s="1650"/>
      <c r="AF72" s="1650"/>
      <c r="AG72" s="1650"/>
      <c r="AH72" s="1650"/>
      <c r="AI72" s="1650"/>
      <c r="AJ72" s="1650"/>
      <c r="AK72" s="1650"/>
      <c r="AL72" s="1650"/>
      <c r="AM72" s="1650"/>
      <c r="AO72" s="1169"/>
      <c r="AP72" s="1645"/>
      <c r="AQ72" s="1645"/>
      <c r="AR72" s="1169"/>
      <c r="AS72" s="1169"/>
      <c r="AT72" s="1169"/>
      <c r="AU72" s="1169"/>
      <c r="AV72" s="1645"/>
      <c r="AW72" s="1169"/>
      <c r="AX72" s="1169"/>
      <c r="AY72" s="553"/>
      <c r="AZ72" s="1169"/>
      <c r="BA72" s="1169"/>
      <c r="BB72" s="1169"/>
      <c r="BC72" s="1169"/>
      <c r="BD72" s="1169"/>
      <c r="BE72" s="1641"/>
      <c r="BF72" s="575"/>
      <c r="BG72" s="575"/>
      <c r="BH72" s="575"/>
      <c r="BI72" s="575"/>
      <c r="BJ72" s="1650">
        <v>11</v>
      </c>
    </row>
    <row s="1650" customFormat="1" customHeight="1" ht="11.549999999999999">
      <c r="A73" s="996"/>
      <c r="B73" s="1645"/>
      <c r="C73" s="1645"/>
      <c r="D73" s="360"/>
      <c r="J73" s="1650"/>
      <c r="K73" s="1650"/>
      <c r="L73" s="1650"/>
      <c r="M73" s="1650"/>
      <c r="N73" s="1650"/>
      <c r="O73" s="1650"/>
      <c r="P73" s="1650"/>
      <c r="Q73" s="1650"/>
      <c r="R73" s="1650"/>
      <c r="S73" s="1650"/>
      <c r="T73" s="1650"/>
      <c r="U73" s="1650"/>
      <c r="V73" s="1650"/>
      <c r="W73" s="1650"/>
      <c r="X73" s="1650"/>
      <c r="Y73" s="1650"/>
      <c r="Z73" s="1650"/>
      <c r="AA73" s="1650"/>
      <c r="AB73" s="1650"/>
      <c r="AC73" s="1650"/>
      <c r="AD73" s="1650"/>
      <c r="AE73" s="1650"/>
      <c r="AF73" s="1650"/>
      <c r="AG73" s="1650"/>
      <c r="AH73" s="1650"/>
      <c r="AI73" s="1650"/>
      <c r="AJ73" s="1650"/>
      <c r="AK73" s="1650"/>
      <c r="AL73" s="1650"/>
      <c r="AM73" s="1650"/>
      <c r="AO73" s="1169"/>
      <c r="AP73" s="1645"/>
      <c r="AQ73" s="1645"/>
      <c r="AR73" s="1169"/>
      <c r="AS73" s="1169"/>
      <c r="AT73" s="1169"/>
      <c r="AU73" s="1169"/>
      <c r="AV73" s="1645"/>
      <c r="AW73" s="1169"/>
      <c r="AX73" s="1169"/>
      <c r="AY73" s="553"/>
      <c r="AZ73" s="1169"/>
      <c r="BA73" s="1169"/>
      <c r="BB73" s="1169"/>
      <c r="BC73" s="1169"/>
      <c r="BD73" s="1169"/>
      <c r="BE73" s="1641"/>
      <c r="BF73" s="575"/>
      <c r="BG73" s="575"/>
      <c r="BH73" s="575"/>
      <c r="BI73" s="575"/>
      <c r="BJ73" s="1650">
        <v>11</v>
      </c>
    </row>
    <row s="1650" customFormat="1" customHeight="1" ht="11.549999999999999">
      <c r="A74" s="996"/>
      <c r="B74" s="1645"/>
      <c r="C74" s="1645"/>
      <c r="D74" s="360"/>
      <c r="J74" s="1650"/>
      <c r="K74" s="1650"/>
      <c r="L74" s="1650"/>
      <c r="M74" s="1650"/>
      <c r="N74" s="1650"/>
      <c r="O74" s="1650"/>
      <c r="P74" s="1650"/>
      <c r="Q74" s="1650"/>
      <c r="R74" s="1650"/>
      <c r="S74" s="1650"/>
      <c r="T74" s="1650"/>
      <c r="U74" s="1650"/>
      <c r="V74" s="1650"/>
      <c r="W74" s="1650"/>
      <c r="X74" s="1650"/>
      <c r="Y74" s="1650"/>
      <c r="Z74" s="1650"/>
      <c r="AA74" s="1650"/>
      <c r="AB74" s="1650"/>
      <c r="AC74" s="1650"/>
      <c r="AD74" s="1650"/>
      <c r="AE74" s="1650"/>
      <c r="AF74" s="1650"/>
      <c r="AG74" s="1650"/>
      <c r="AH74" s="1650"/>
      <c r="AI74" s="1650"/>
      <c r="AJ74" s="1650"/>
      <c r="AK74" s="1650"/>
      <c r="AL74" s="1650"/>
      <c r="AM74" s="1650"/>
      <c r="AO74" s="1169"/>
      <c r="AP74" s="1645"/>
      <c r="AQ74" s="1645"/>
      <c r="AR74" s="1169"/>
      <c r="AS74" s="1169"/>
      <c r="AT74" s="1169"/>
      <c r="AU74" s="1169"/>
      <c r="AV74" s="1645"/>
      <c r="AW74" s="1169"/>
      <c r="AX74" s="1169"/>
      <c r="AY74" s="553"/>
      <c r="AZ74" s="1169"/>
      <c r="BA74" s="1169"/>
      <c r="BB74" s="1169"/>
      <c r="BC74" s="1169"/>
      <c r="BD74" s="1169"/>
      <c r="BE74" s="1641"/>
      <c r="BF74" s="575"/>
      <c r="BG74" s="575"/>
      <c r="BH74" s="575"/>
      <c r="BI74" s="575"/>
      <c r="BJ74" s="1650">
        <v>11</v>
      </c>
    </row>
    <row s="1650" customFormat="1" customHeight="1" ht="11.549999999999999">
      <c r="A75" s="996"/>
      <c r="B75" s="1645"/>
      <c r="C75" s="1645"/>
      <c r="D75" s="36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650"/>
      <c r="AM75" s="1650"/>
      <c r="AO75" s="1169"/>
      <c r="AP75" s="1645"/>
      <c r="AQ75" s="1645"/>
      <c r="AR75" s="1169"/>
      <c r="AS75" s="1169"/>
      <c r="AT75" s="1169"/>
      <c r="AU75" s="1169"/>
      <c r="AV75" s="1645"/>
      <c r="AW75" s="1169"/>
      <c r="AX75" s="1169"/>
      <c r="AY75" s="553"/>
      <c r="AZ75" s="1169"/>
      <c r="BA75" s="1169"/>
      <c r="BB75" s="1169"/>
      <c r="BC75" s="1169"/>
      <c r="BD75" s="1169"/>
      <c r="BE75" s="1641"/>
      <c r="BF75" s="575"/>
      <c r="BG75" s="575"/>
      <c r="BH75" s="575"/>
      <c r="BI75" s="575"/>
      <c r="BJ75" s="1650">
        <v>11</v>
      </c>
    </row>
    <row s="1650" customFormat="1" customHeight="1" ht="11.549999999999999">
      <c r="A76" s="996"/>
      <c r="B76" s="1645"/>
      <c r="C76" s="1645"/>
      <c r="D76" s="36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650"/>
      <c r="AM76" s="1650"/>
      <c r="AO76" s="1169"/>
      <c r="AP76" s="1645"/>
      <c r="AQ76" s="1645"/>
      <c r="AR76" s="1169"/>
      <c r="AS76" s="1169"/>
      <c r="AT76" s="1169"/>
      <c r="AU76" s="1169"/>
      <c r="AV76" s="1645"/>
      <c r="AW76" s="1169"/>
      <c r="AX76" s="1169"/>
      <c r="AY76" s="553"/>
      <c r="AZ76" s="1169"/>
      <c r="BA76" s="1169"/>
      <c r="BB76" s="1169"/>
      <c r="BC76" s="1169"/>
      <c r="BD76" s="1169"/>
      <c r="BE76" s="1641"/>
      <c r="BF76" s="575"/>
      <c r="BG76" s="575"/>
      <c r="BH76" s="575"/>
      <c r="BI76" s="575"/>
      <c r="BJ76" s="1650">
        <v>11</v>
      </c>
    </row>
    <row s="1650" customFormat="1" customHeight="1" ht="11.549999999999999">
      <c r="A77" s="996"/>
      <c r="B77" s="1645"/>
      <c r="C77" s="1645"/>
      <c r="D77" s="36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650"/>
      <c r="AM77" s="1650"/>
      <c r="AO77" s="1169"/>
      <c r="AP77" s="1645"/>
      <c r="AQ77" s="1645"/>
      <c r="AR77" s="1169"/>
      <c r="AS77" s="1169"/>
      <c r="AT77" s="1169"/>
      <c r="AU77" s="1169"/>
      <c r="AV77" s="1645"/>
      <c r="AW77" s="1169"/>
      <c r="AX77" s="1169"/>
      <c r="AY77" s="553"/>
      <c r="AZ77" s="1169"/>
      <c r="BA77" s="1169"/>
      <c r="BB77" s="1169"/>
      <c r="BC77" s="1169"/>
      <c r="BD77" s="1169"/>
      <c r="BE77" s="1641"/>
      <c r="BF77" s="575"/>
      <c r="BG77" s="575"/>
      <c r="BH77" s="575"/>
      <c r="BI77" s="575"/>
      <c r="BJ77" s="1650">
        <v>11</v>
      </c>
    </row>
    <row s="1650" customFormat="1" customHeight="1" ht="11.549999999999999">
      <c r="A78" s="996"/>
      <c r="B78" s="1645"/>
      <c r="C78" s="1645"/>
      <c r="D78" s="36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650"/>
      <c r="AM78" s="1650"/>
      <c r="AO78" s="1169"/>
      <c r="AP78" s="1645"/>
      <c r="AQ78" s="1645"/>
      <c r="AR78" s="1169"/>
      <c r="AS78" s="1169"/>
      <c r="AT78" s="1169"/>
      <c r="AU78" s="1169"/>
      <c r="AV78" s="1645"/>
      <c r="AW78" s="1169"/>
      <c r="AX78" s="1169"/>
      <c r="AY78" s="553"/>
      <c r="AZ78" s="1169"/>
      <c r="BA78" s="1169"/>
      <c r="BB78" s="1169"/>
      <c r="BC78" s="1169"/>
      <c r="BD78" s="1169"/>
      <c r="BE78" s="1641"/>
      <c r="BF78" s="575"/>
      <c r="BG78" s="575"/>
      <c r="BH78" s="575"/>
      <c r="BI78" s="575"/>
      <c r="BJ78" s="1650">
        <v>11</v>
      </c>
    </row>
    <row s="1650" customFormat="1" customHeight="1" ht="11.549999999999999">
      <c r="A79" s="996"/>
      <c r="B79" s="1645"/>
      <c r="C79" s="1645"/>
      <c r="D79" s="36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650"/>
      <c r="AM79" s="1650"/>
      <c r="AO79" s="1169"/>
      <c r="AP79" s="1645"/>
      <c r="AQ79" s="1645"/>
      <c r="AR79" s="1169"/>
      <c r="AS79" s="1169"/>
      <c r="AT79" s="1169"/>
      <c r="AU79" s="1169"/>
      <c r="AV79" s="1645"/>
      <c r="AW79" s="1169"/>
      <c r="AX79" s="1169"/>
      <c r="AY79" s="553"/>
      <c r="AZ79" s="1169"/>
      <c r="BA79" s="1169"/>
      <c r="BB79" s="1169"/>
      <c r="BC79" s="1169"/>
      <c r="BD79" s="1169"/>
      <c r="BE79" s="1641"/>
      <c r="BF79" s="575"/>
      <c r="BG79" s="575"/>
      <c r="BH79" s="575"/>
      <c r="BI79" s="575"/>
      <c r="BJ79" s="1650">
        <v>11</v>
      </c>
    </row>
    <row s="1650" customFormat="1" customHeight="1" ht="11.549999999999999">
      <c r="A80" s="996"/>
      <c r="B80" s="1645"/>
      <c r="C80" s="1645"/>
      <c r="D80" s="36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650"/>
      <c r="AM80" s="1650"/>
      <c r="AO80" s="1169"/>
      <c r="AP80" s="1645"/>
      <c r="AQ80" s="1645"/>
      <c r="AR80" s="1169"/>
      <c r="AS80" s="1169"/>
      <c r="AT80" s="1169"/>
      <c r="AU80" s="1169"/>
      <c r="AV80" s="1645"/>
      <c r="AW80" s="1169"/>
      <c r="AX80" s="1169"/>
      <c r="AY80" s="553"/>
      <c r="AZ80" s="1169"/>
      <c r="BA80" s="1169"/>
      <c r="BB80" s="1169"/>
      <c r="BC80" s="1169"/>
      <c r="BD80" s="1169"/>
      <c r="BE80" s="1641"/>
      <c r="BF80" s="575"/>
      <c r="BG80" s="575"/>
      <c r="BH80" s="575"/>
      <c r="BI80" s="575"/>
      <c r="BJ80" s="1650">
        <v>11</v>
      </c>
    </row>
    <row s="1650" customFormat="1" customHeight="1" ht="11.549999999999999">
      <c r="A81" s="996"/>
      <c r="B81" s="1645"/>
      <c r="C81" s="1645"/>
      <c r="D81" s="36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650"/>
      <c r="AM81" s="1650"/>
      <c r="AO81" s="1169"/>
      <c r="AP81" s="1645"/>
      <c r="AQ81" s="1645"/>
      <c r="AR81" s="1169"/>
      <c r="AS81" s="1169"/>
      <c r="AT81" s="1169"/>
      <c r="AU81" s="1169"/>
      <c r="AV81" s="1645"/>
      <c r="AW81" s="1169"/>
      <c r="AX81" s="1169"/>
      <c r="AY81" s="553"/>
      <c r="AZ81" s="1169"/>
      <c r="BA81" s="1169"/>
      <c r="BB81" s="1169"/>
      <c r="BC81" s="1169"/>
      <c r="BD81" s="1169"/>
      <c r="BE81" s="1641"/>
      <c r="BF81" s="575"/>
      <c r="BG81" s="575"/>
      <c r="BH81" s="575"/>
      <c r="BI81" s="575"/>
      <c r="BJ81" s="1650">
        <v>11</v>
      </c>
    </row>
    <row s="1650" customFormat="1" customHeight="1" ht="11.549999999999999">
      <c r="A82" s="996"/>
      <c r="B82" s="1645"/>
      <c r="C82" s="1645"/>
      <c r="D82" s="36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650"/>
      <c r="AM82" s="1650"/>
      <c r="AO82" s="1169"/>
      <c r="AP82" s="1645"/>
      <c r="AQ82" s="1645"/>
      <c r="AR82" s="1169"/>
      <c r="AS82" s="1169"/>
      <c r="AT82" s="1169"/>
      <c r="AU82" s="1169"/>
      <c r="AV82" s="1645"/>
      <c r="AW82" s="1169"/>
      <c r="AX82" s="1169"/>
      <c r="AY82" s="553"/>
      <c r="AZ82" s="1169"/>
      <c r="BA82" s="1169"/>
      <c r="BB82" s="1169"/>
      <c r="BC82" s="1169"/>
      <c r="BD82" s="1169"/>
      <c r="BE82" s="1641"/>
      <c r="BF82" s="575"/>
      <c r="BG82" s="575"/>
      <c r="BH82" s="575"/>
      <c r="BI82" s="575"/>
      <c r="BJ82" s="1650">
        <v>11</v>
      </c>
    </row>
    <row s="1650" customFormat="1" customHeight="1" ht="11.549999999999999">
      <c r="A83" s="996"/>
      <c r="B83" s="1645"/>
      <c r="C83" s="1645"/>
      <c r="D83" s="36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650"/>
      <c r="AM83" s="1650"/>
      <c r="AO83" s="1169"/>
      <c r="AP83" s="1645"/>
      <c r="AQ83" s="1645"/>
      <c r="AR83" s="1169"/>
      <c r="AS83" s="1169"/>
      <c r="AT83" s="1169"/>
      <c r="AU83" s="1169"/>
      <c r="AV83" s="1645"/>
      <c r="AW83" s="1169"/>
      <c r="AX83" s="1169"/>
      <c r="AY83" s="553"/>
      <c r="AZ83" s="1169"/>
      <c r="BA83" s="1169"/>
      <c r="BB83" s="1169"/>
      <c r="BC83" s="1169"/>
      <c r="BD83" s="1169"/>
      <c r="BE83" s="1641"/>
      <c r="BF83" s="575"/>
      <c r="BG83" s="575"/>
      <c r="BH83" s="575"/>
      <c r="BI83" s="575"/>
      <c r="BJ83" s="1650">
        <v>11</v>
      </c>
    </row>
    <row s="1650" customFormat="1" customHeight="1" ht="11.549999999999999">
      <c r="A84" s="996"/>
      <c r="B84" s="1645"/>
      <c r="C84" s="1645"/>
      <c r="D84" s="36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650"/>
      <c r="AM84" s="1650"/>
      <c r="AO84" s="1169"/>
      <c r="AP84" s="1645"/>
      <c r="AQ84" s="1645"/>
      <c r="AR84" s="1169"/>
      <c r="AS84" s="1169"/>
      <c r="AT84" s="1169"/>
      <c r="AU84" s="1169"/>
      <c r="AV84" s="1645"/>
      <c r="AW84" s="1169"/>
      <c r="AX84" s="1169"/>
      <c r="AY84" s="553"/>
      <c r="AZ84" s="1169"/>
      <c r="BA84" s="1169"/>
      <c r="BB84" s="1169"/>
      <c r="BC84" s="1169"/>
      <c r="BD84" s="1169"/>
      <c r="BE84" s="1641"/>
      <c r="BF84" s="575"/>
      <c r="BG84" s="575"/>
      <c r="BH84" s="575"/>
      <c r="BI84" s="575"/>
      <c r="BJ84" s="1650">
        <v>11</v>
      </c>
    </row>
    <row s="1650" customFormat="1" customHeight="1" ht="11.549999999999999">
      <c r="A85" s="996"/>
      <c r="B85" s="1645"/>
      <c r="C85" s="1645"/>
      <c r="D85" s="36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L85" s="1650"/>
      <c r="AM85" s="1650"/>
      <c r="AO85" s="1169"/>
      <c r="AP85" s="1645"/>
      <c r="AQ85" s="1645"/>
      <c r="AR85" s="1169"/>
      <c r="AS85" s="1169"/>
      <c r="AT85" s="1169"/>
      <c r="AU85" s="1169"/>
      <c r="AV85" s="1645"/>
      <c r="AW85" s="1169"/>
      <c r="AX85" s="1169"/>
      <c r="AY85" s="553"/>
      <c r="AZ85" s="1169"/>
      <c r="BA85" s="1169"/>
      <c r="BB85" s="1169"/>
      <c r="BC85" s="1169"/>
      <c r="BD85" s="1169"/>
      <c r="BE85" s="1641"/>
      <c r="BF85" s="575"/>
      <c r="BG85" s="575"/>
      <c r="BH85" s="575"/>
      <c r="BI85" s="575"/>
      <c r="BJ85" s="1650">
        <v>11</v>
      </c>
    </row>
    <row s="1650" customFormat="1" customHeight="1" ht="11.549999999999999">
      <c r="A86" s="996"/>
      <c r="B86" s="1645"/>
      <c r="C86" s="1645"/>
      <c r="D86" s="360"/>
      <c r="J86" s="1650"/>
      <c r="K86" s="1650"/>
      <c r="L86" s="1650"/>
      <c r="M86" s="1650"/>
      <c r="N86" s="1650"/>
      <c r="O86" s="1650"/>
      <c r="P86" s="1650"/>
      <c r="Q86" s="1650"/>
      <c r="R86" s="1650"/>
      <c r="S86" s="1650"/>
      <c r="T86" s="1650"/>
      <c r="U86" s="1650"/>
      <c r="V86" s="1650"/>
      <c r="W86" s="1650"/>
      <c r="X86" s="1650"/>
      <c r="Y86" s="1650"/>
      <c r="Z86" s="1650"/>
      <c r="AA86" s="1650"/>
      <c r="AB86" s="1650"/>
      <c r="AC86" s="1650"/>
      <c r="AD86" s="1650"/>
      <c r="AE86" s="1650"/>
      <c r="AF86" s="1650"/>
      <c r="AG86" s="1650"/>
      <c r="AH86" s="1650"/>
      <c r="AI86" s="1650"/>
      <c r="AJ86" s="1650"/>
      <c r="AK86" s="1650"/>
      <c r="AL86" s="1650"/>
      <c r="AM86" s="1650"/>
      <c r="AO86" s="1169"/>
      <c r="AP86" s="1645"/>
      <c r="AQ86" s="1645"/>
      <c r="AR86" s="1169"/>
      <c r="AS86" s="1169"/>
      <c r="AT86" s="1169"/>
      <c r="AU86" s="1169"/>
      <c r="AV86" s="1645"/>
      <c r="AW86" s="1169"/>
      <c r="AX86" s="1169"/>
      <c r="AY86" s="553"/>
      <c r="AZ86" s="1169"/>
      <c r="BA86" s="1169"/>
      <c r="BB86" s="1169"/>
      <c r="BC86" s="1169"/>
      <c r="BD86" s="1169"/>
      <c r="BE86" s="1641"/>
      <c r="BF86" s="575"/>
      <c r="BG86" s="575"/>
      <c r="BH86" s="575"/>
      <c r="BI86" s="575"/>
      <c r="BJ86" s="1650">
        <v>11</v>
      </c>
    </row>
    <row s="1650" customFormat="1" customHeight="1" ht="11.549999999999999">
      <c r="A87" s="996"/>
      <c r="B87" s="1645"/>
      <c r="C87" s="1645"/>
      <c r="D87" s="360"/>
      <c r="J87" s="1650"/>
      <c r="K87" s="1650"/>
      <c r="L87" s="1650"/>
      <c r="M87" s="1650"/>
      <c r="N87" s="1650"/>
      <c r="O87" s="1650"/>
      <c r="P87" s="1650"/>
      <c r="Q87" s="1650"/>
      <c r="R87" s="1650"/>
      <c r="S87" s="1650"/>
      <c r="T87" s="1650"/>
      <c r="U87" s="1650"/>
      <c r="V87" s="1650"/>
      <c r="W87" s="1650"/>
      <c r="X87" s="1650"/>
      <c r="Y87" s="1650"/>
      <c r="Z87" s="1650"/>
      <c r="AA87" s="1650"/>
      <c r="AB87" s="1650"/>
      <c r="AC87" s="1650"/>
      <c r="AD87" s="1650"/>
      <c r="AE87" s="1650"/>
      <c r="AF87" s="1650"/>
      <c r="AG87" s="1650"/>
      <c r="AH87" s="1650"/>
      <c r="AI87" s="1650"/>
      <c r="AJ87" s="1650"/>
      <c r="AK87" s="1650"/>
      <c r="AL87" s="1650"/>
      <c r="AM87" s="1650"/>
      <c r="AO87" s="1169"/>
      <c r="AP87" s="1645"/>
      <c r="AQ87" s="1645"/>
      <c r="AR87" s="1169"/>
      <c r="AS87" s="1169"/>
      <c r="AT87" s="1169"/>
      <c r="AU87" s="1169"/>
      <c r="AV87" s="1645"/>
      <c r="AW87" s="1169"/>
      <c r="AX87" s="1169"/>
      <c r="AY87" s="553"/>
      <c r="AZ87" s="1169"/>
      <c r="BA87" s="1169"/>
      <c r="BB87" s="1169"/>
      <c r="BC87" s="1169"/>
      <c r="BD87" s="1169"/>
      <c r="BE87" s="1641"/>
      <c r="BF87" s="575"/>
      <c r="BG87" s="575"/>
      <c r="BH87" s="575"/>
      <c r="BI87" s="575"/>
      <c r="BJ87" s="1650">
        <v>11</v>
      </c>
    </row>
    <row s="1650" customFormat="1" customHeight="1" ht="11.549999999999999">
      <c r="A88" s="996"/>
      <c r="B88" s="1645"/>
      <c r="C88" s="1645"/>
      <c r="D88" s="360"/>
      <c r="J88" s="1650"/>
      <c r="K88" s="1650"/>
      <c r="L88" s="1650"/>
      <c r="M88" s="1650"/>
      <c r="N88" s="1650"/>
      <c r="O88" s="1650"/>
      <c r="P88" s="1650"/>
      <c r="Q88" s="1650"/>
      <c r="R88" s="1650"/>
      <c r="S88" s="1650"/>
      <c r="T88" s="1650"/>
      <c r="U88" s="1650"/>
      <c r="V88" s="1650"/>
      <c r="W88" s="1650"/>
      <c r="X88" s="1650"/>
      <c r="Y88" s="1650"/>
      <c r="Z88" s="1650"/>
      <c r="AA88" s="1650"/>
      <c r="AB88" s="1650"/>
      <c r="AC88" s="1650"/>
      <c r="AD88" s="1650"/>
      <c r="AE88" s="1650"/>
      <c r="AF88" s="1650"/>
      <c r="AG88" s="1650"/>
      <c r="AH88" s="1650"/>
      <c r="AI88" s="1650"/>
      <c r="AJ88" s="1650"/>
      <c r="AK88" s="1650"/>
      <c r="AL88" s="1650"/>
      <c r="AM88" s="1650"/>
      <c r="AO88" s="1169"/>
      <c r="AP88" s="1645"/>
      <c r="AQ88" s="1645"/>
      <c r="AR88" s="1169"/>
      <c r="AS88" s="1169"/>
      <c r="AT88" s="1169"/>
      <c r="AU88" s="1169"/>
      <c r="AV88" s="1645"/>
      <c r="AW88" s="1169"/>
      <c r="AX88" s="1169"/>
      <c r="AY88" s="553"/>
      <c r="AZ88" s="1169"/>
      <c r="BA88" s="1169"/>
      <c r="BB88" s="1169"/>
      <c r="BC88" s="1169"/>
      <c r="BD88" s="1169"/>
      <c r="BE88" s="1641"/>
      <c r="BF88" s="575"/>
      <c r="BG88" s="575"/>
      <c r="BH88" s="575"/>
      <c r="BI88" s="575"/>
      <c r="BJ88" s="1650">
        <v>11</v>
      </c>
    </row>
    <row s="1650" customFormat="1" customHeight="1" ht="11.549999999999999">
      <c r="A89" s="996"/>
      <c r="B89" s="1645"/>
      <c r="C89" s="1645"/>
      <c r="D89" s="360"/>
      <c r="J89" s="1650"/>
      <c r="K89" s="1650"/>
      <c r="L89" s="1650"/>
      <c r="M89" s="1650"/>
      <c r="N89" s="1650"/>
      <c r="O89" s="1650"/>
      <c r="P89" s="1650"/>
      <c r="Q89" s="1650"/>
      <c r="R89" s="1650"/>
      <c r="S89" s="1650"/>
      <c r="T89" s="1650"/>
      <c r="U89" s="1650"/>
      <c r="V89" s="1650"/>
      <c r="W89" s="1650"/>
      <c r="X89" s="1650"/>
      <c r="Y89" s="1650"/>
      <c r="Z89" s="1650"/>
      <c r="AA89" s="1650"/>
      <c r="AB89" s="1650"/>
      <c r="AC89" s="1650"/>
      <c r="AD89" s="1650"/>
      <c r="AE89" s="1650"/>
      <c r="AF89" s="1650"/>
      <c r="AG89" s="1650"/>
      <c r="AH89" s="1650"/>
      <c r="AI89" s="1650"/>
      <c r="AJ89" s="1650"/>
      <c r="AK89" s="1650"/>
      <c r="AL89" s="1650"/>
      <c r="AM89" s="1650"/>
      <c r="AO89" s="1169"/>
      <c r="AP89" s="1645"/>
      <c r="AQ89" s="1645"/>
      <c r="AR89" s="1169"/>
      <c r="AS89" s="1169"/>
      <c r="AT89" s="1169"/>
      <c r="AU89" s="1169"/>
      <c r="AV89" s="1645"/>
      <c r="AW89" s="1169"/>
      <c r="AX89" s="1169"/>
      <c r="AY89" s="553"/>
      <c r="AZ89" s="1169"/>
      <c r="BA89" s="1169"/>
      <c r="BB89" s="1169"/>
      <c r="BC89" s="1169"/>
      <c r="BD89" s="1169"/>
      <c r="BE89" s="1641"/>
      <c r="BF89" s="575"/>
      <c r="BG89" s="575"/>
      <c r="BH89" s="575"/>
      <c r="BI89" s="575"/>
      <c r="BJ89" s="1650">
        <v>11</v>
      </c>
    </row>
    <row s="1650" customFormat="1" customHeight="1" ht="11.549999999999999">
      <c r="A90" s="996"/>
      <c r="B90" s="1645"/>
      <c r="C90" s="1645"/>
      <c r="D90" s="360"/>
      <c r="J90" s="1650"/>
      <c r="K90" s="1650"/>
      <c r="L90" s="1650"/>
      <c r="M90" s="1650"/>
      <c r="N90" s="1650"/>
      <c r="O90" s="1650"/>
      <c r="P90" s="1650"/>
      <c r="Q90" s="1650"/>
      <c r="R90" s="1650"/>
      <c r="S90" s="1650"/>
      <c r="T90" s="1650"/>
      <c r="U90" s="1650"/>
      <c r="V90" s="1650"/>
      <c r="W90" s="1650"/>
      <c r="X90" s="1650"/>
      <c r="Y90" s="1650"/>
      <c r="Z90" s="1650"/>
      <c r="AA90" s="1650"/>
      <c r="AB90" s="1650"/>
      <c r="AC90" s="1650"/>
      <c r="AD90" s="1650"/>
      <c r="AE90" s="1650"/>
      <c r="AF90" s="1650"/>
      <c r="AG90" s="1650"/>
      <c r="AH90" s="1650"/>
      <c r="AI90" s="1650"/>
      <c r="AJ90" s="1650"/>
      <c r="AK90" s="1650"/>
      <c r="AL90" s="1650"/>
      <c r="AM90" s="1650"/>
      <c r="AO90" s="1169"/>
      <c r="AP90" s="1645"/>
      <c r="AQ90" s="1645"/>
      <c r="AR90" s="1169"/>
      <c r="AS90" s="1169"/>
      <c r="AT90" s="1169"/>
      <c r="AU90" s="1169"/>
      <c r="AV90" s="1645"/>
      <c r="AW90" s="1169"/>
      <c r="AX90" s="1169"/>
      <c r="AY90" s="553"/>
      <c r="AZ90" s="1169"/>
      <c r="BA90" s="1169"/>
      <c r="BB90" s="1169"/>
      <c r="BC90" s="1169"/>
      <c r="BD90" s="1169"/>
      <c r="BE90" s="1641"/>
      <c r="BF90" s="575"/>
      <c r="BG90" s="575"/>
      <c r="BH90" s="575"/>
      <c r="BI90" s="575"/>
      <c r="BJ90" s="1650">
        <v>11</v>
      </c>
    </row>
    <row s="1650" customFormat="1" customHeight="1" ht="11.549999999999999">
      <c r="A91" s="996"/>
      <c r="B91" s="1645"/>
      <c r="C91" s="1645"/>
      <c r="D91" s="360"/>
      <c r="J91" s="1650"/>
      <c r="K91" s="1650"/>
      <c r="L91" s="1650"/>
      <c r="M91" s="1650"/>
      <c r="N91" s="1650"/>
      <c r="O91" s="1650"/>
      <c r="P91" s="1650"/>
      <c r="Q91" s="1650"/>
      <c r="R91" s="1650"/>
      <c r="S91" s="1650"/>
      <c r="T91" s="1650"/>
      <c r="U91" s="1650"/>
      <c r="V91" s="1650"/>
      <c r="W91" s="1650"/>
      <c r="X91" s="1650"/>
      <c r="Y91" s="1650"/>
      <c r="Z91" s="1650"/>
      <c r="AA91" s="1650"/>
      <c r="AB91" s="1650"/>
      <c r="AC91" s="1650"/>
      <c r="AD91" s="1650"/>
      <c r="AE91" s="1650"/>
      <c r="AF91" s="1650"/>
      <c r="AG91" s="1650"/>
      <c r="AH91" s="1650"/>
      <c r="AI91" s="1650"/>
      <c r="AJ91" s="1650"/>
      <c r="AK91" s="1650"/>
      <c r="AL91" s="1650"/>
      <c r="AM91" s="1650"/>
      <c r="AO91" s="1169"/>
      <c r="AP91" s="1645"/>
      <c r="AQ91" s="1645"/>
      <c r="AR91" s="1169"/>
      <c r="AS91" s="1169"/>
      <c r="AT91" s="1169"/>
      <c r="AU91" s="1169"/>
      <c r="AV91" s="1645"/>
      <c r="AW91" s="1169"/>
      <c r="AX91" s="1169"/>
      <c r="AY91" s="553"/>
      <c r="AZ91" s="1169"/>
      <c r="BA91" s="1169"/>
      <c r="BB91" s="1169"/>
      <c r="BC91" s="1169"/>
      <c r="BD91" s="1169"/>
      <c r="BE91" s="1641"/>
      <c r="BF91" s="575"/>
      <c r="BG91" s="575"/>
      <c r="BH91" s="575"/>
      <c r="BI91" s="575"/>
      <c r="BJ91" s="1650">
        <v>11</v>
      </c>
    </row>
    <row s="1650" customFormat="1" customHeight="1" ht="11.549999999999999">
      <c r="A92" s="996"/>
      <c r="B92" s="1645"/>
      <c r="C92" s="1645"/>
      <c r="D92" s="360"/>
      <c r="J92" s="1650"/>
      <c r="K92" s="1650"/>
      <c r="L92" s="1650"/>
      <c r="M92" s="1650"/>
      <c r="N92" s="1650"/>
      <c r="O92" s="1650"/>
      <c r="P92" s="1650"/>
      <c r="Q92" s="1650"/>
      <c r="R92" s="1650"/>
      <c r="S92" s="1650"/>
      <c r="T92" s="1650"/>
      <c r="U92" s="1650"/>
      <c r="V92" s="1650"/>
      <c r="W92" s="1650"/>
      <c r="X92" s="1650"/>
      <c r="Y92" s="1650"/>
      <c r="Z92" s="1650"/>
      <c r="AA92" s="1650"/>
      <c r="AB92" s="1650"/>
      <c r="AC92" s="1650"/>
      <c r="AD92" s="1650"/>
      <c r="AE92" s="1650"/>
      <c r="AF92" s="1650"/>
      <c r="AG92" s="1650"/>
      <c r="AH92" s="1650"/>
      <c r="AI92" s="1650"/>
      <c r="AJ92" s="1650"/>
      <c r="AK92" s="1650"/>
      <c r="AL92" s="1650"/>
      <c r="AM92" s="1650"/>
      <c r="AO92" s="1169"/>
      <c r="AP92" s="1645"/>
      <c r="AQ92" s="1645"/>
      <c r="AR92" s="1169"/>
      <c r="AS92" s="1169"/>
      <c r="AT92" s="1169"/>
      <c r="AU92" s="1169"/>
      <c r="AV92" s="1645"/>
      <c r="AW92" s="1169"/>
      <c r="AX92" s="1169"/>
      <c r="AY92" s="553"/>
      <c r="AZ92" s="1169"/>
      <c r="BA92" s="1169"/>
      <c r="BB92" s="1169"/>
      <c r="BC92" s="1169"/>
      <c r="BD92" s="1169"/>
      <c r="BE92" s="1641"/>
      <c r="BF92" s="575"/>
      <c r="BG92" s="575"/>
      <c r="BH92" s="575"/>
      <c r="BI92" s="575"/>
      <c r="BJ92" s="1650">
        <v>11</v>
      </c>
    </row>
    <row s="1650" customFormat="1" customHeight="1" ht="11.549999999999999">
      <c r="A93" s="996"/>
      <c r="B93" s="1645"/>
      <c r="C93" s="1645"/>
      <c r="D93" s="360"/>
      <c r="J93" s="1650"/>
      <c r="K93" s="1650"/>
      <c r="L93" s="1650"/>
      <c r="M93" s="1650"/>
      <c r="N93" s="1650"/>
      <c r="O93" s="1650"/>
      <c r="P93" s="1650"/>
      <c r="Q93" s="1650"/>
      <c r="R93" s="1650"/>
      <c r="S93" s="1650"/>
      <c r="T93" s="1650"/>
      <c r="U93" s="1650"/>
      <c r="V93" s="1650"/>
      <c r="W93" s="1650"/>
      <c r="X93" s="1650"/>
      <c r="Y93" s="1650"/>
      <c r="Z93" s="1650"/>
      <c r="AA93" s="1650"/>
      <c r="AB93" s="1650"/>
      <c r="AC93" s="1650"/>
      <c r="AD93" s="1650"/>
      <c r="AE93" s="1650"/>
      <c r="AF93" s="1650"/>
      <c r="AG93" s="1650"/>
      <c r="AH93" s="1650"/>
      <c r="AI93" s="1650"/>
      <c r="AJ93" s="1650"/>
      <c r="AK93" s="1650"/>
      <c r="AL93" s="1650"/>
      <c r="AM93" s="1650"/>
      <c r="AO93" s="1169"/>
      <c r="AP93" s="1645"/>
      <c r="AQ93" s="1645"/>
      <c r="AR93" s="1169"/>
      <c r="AS93" s="1169"/>
      <c r="AT93" s="1169"/>
      <c r="AU93" s="1169"/>
      <c r="AV93" s="1645"/>
      <c r="AW93" s="1169"/>
      <c r="AX93" s="1169"/>
      <c r="AY93" s="553"/>
      <c r="AZ93" s="1169"/>
      <c r="BA93" s="1169"/>
      <c r="BB93" s="1169"/>
      <c r="BC93" s="1169"/>
      <c r="BD93" s="1169"/>
      <c r="BE93" s="1641"/>
      <c r="BF93" s="575"/>
      <c r="BG93" s="575"/>
      <c r="BH93" s="575"/>
      <c r="BI93" s="575"/>
      <c r="BJ93" s="1650">
        <v>11</v>
      </c>
    </row>
    <row s="1650" customFormat="1" customHeight="1" ht="11.549999999999999">
      <c r="A94" s="996"/>
      <c r="B94" s="1645"/>
      <c r="C94" s="1645"/>
      <c r="D94" s="360"/>
      <c r="J94" s="1650"/>
      <c r="K94" s="1650"/>
      <c r="L94" s="1650"/>
      <c r="M94" s="1650"/>
      <c r="N94" s="1650"/>
      <c r="O94" s="1650"/>
      <c r="P94" s="1650"/>
      <c r="Q94" s="1650"/>
      <c r="R94" s="1650"/>
      <c r="S94" s="1650"/>
      <c r="T94" s="1650"/>
      <c r="U94" s="1650"/>
      <c r="V94" s="1650"/>
      <c r="W94" s="1650"/>
      <c r="X94" s="1650"/>
      <c r="Y94" s="1650"/>
      <c r="Z94" s="1650"/>
      <c r="AA94" s="1650"/>
      <c r="AB94" s="1650"/>
      <c r="AC94" s="1650"/>
      <c r="AD94" s="1650"/>
      <c r="AE94" s="1650"/>
      <c r="AF94" s="1650"/>
      <c r="AG94" s="1650"/>
      <c r="AH94" s="1650"/>
      <c r="AI94" s="1650"/>
      <c r="AJ94" s="1650"/>
      <c r="AK94" s="1650"/>
      <c r="AL94" s="1650"/>
      <c r="AM94" s="1650"/>
      <c r="AO94" s="1169"/>
      <c r="AP94" s="1645"/>
      <c r="AQ94" s="1645"/>
      <c r="AR94" s="1169"/>
      <c r="AS94" s="1169"/>
      <c r="AT94" s="1169"/>
      <c r="AU94" s="1169"/>
      <c r="AV94" s="1645"/>
      <c r="AW94" s="1169"/>
      <c r="AX94" s="1169"/>
      <c r="AY94" s="553"/>
      <c r="AZ94" s="1169"/>
      <c r="BA94" s="1169"/>
      <c r="BB94" s="1169"/>
      <c r="BC94" s="1169"/>
      <c r="BD94" s="1169"/>
      <c r="BE94" s="1641"/>
      <c r="BF94" s="575"/>
      <c r="BG94" s="575"/>
      <c r="BH94" s="575"/>
      <c r="BI94" s="575"/>
      <c r="BJ94" s="1650">
        <v>11</v>
      </c>
    </row>
    <row s="1650" customFormat="1" customHeight="1" ht="11.549999999999999">
      <c r="A95" s="996"/>
      <c r="B95" s="1645"/>
      <c r="C95" s="1645"/>
      <c r="D95" s="360"/>
      <c r="J95" s="1650"/>
      <c r="K95" s="1650"/>
      <c r="L95" s="1650"/>
      <c r="M95" s="1650"/>
      <c r="N95" s="1650"/>
      <c r="O95" s="1650"/>
      <c r="P95" s="1650"/>
      <c r="Q95" s="1650"/>
      <c r="R95" s="1650"/>
      <c r="S95" s="1650"/>
      <c r="T95" s="1650"/>
      <c r="U95" s="1650"/>
      <c r="V95" s="1650"/>
      <c r="W95" s="1650"/>
      <c r="X95" s="1650"/>
      <c r="Y95" s="1650"/>
      <c r="Z95" s="1650"/>
      <c r="AA95" s="1650"/>
      <c r="AB95" s="1650"/>
      <c r="AC95" s="1650"/>
      <c r="AD95" s="1650"/>
      <c r="AE95" s="1650"/>
      <c r="AF95" s="1650"/>
      <c r="AG95" s="1650"/>
      <c r="AH95" s="1650"/>
      <c r="AI95" s="1650"/>
      <c r="AJ95" s="1650"/>
      <c r="AK95" s="1650"/>
      <c r="AL95" s="1650"/>
      <c r="AM95" s="1650"/>
      <c r="AO95" s="1169"/>
      <c r="AP95" s="1645"/>
      <c r="AQ95" s="1645"/>
      <c r="AR95" s="1169"/>
      <c r="AS95" s="1169"/>
      <c r="AT95" s="1169"/>
      <c r="AU95" s="1169"/>
      <c r="AV95" s="1645"/>
      <c r="AW95" s="1169"/>
      <c r="AX95" s="1169"/>
      <c r="AY95" s="553"/>
      <c r="AZ95" s="1169"/>
      <c r="BA95" s="1169"/>
      <c r="BB95" s="1169"/>
      <c r="BC95" s="1169"/>
      <c r="BD95" s="1169"/>
      <c r="BE95" s="1641"/>
      <c r="BF95" s="575"/>
      <c r="BG95" s="575"/>
      <c r="BH95" s="575"/>
      <c r="BI95" s="575"/>
      <c r="BJ95" s="1650">
        <v>11</v>
      </c>
    </row>
    <row s="1650" customFormat="1" customHeight="1" ht="11.549999999999999">
      <c r="A96" s="996"/>
      <c r="B96" s="1645"/>
      <c r="C96" s="1645"/>
      <c r="D96" s="360"/>
      <c r="J96" s="1650"/>
      <c r="K96" s="1650"/>
      <c r="L96" s="1650"/>
      <c r="M96" s="1650"/>
      <c r="N96" s="1650"/>
      <c r="O96" s="1650"/>
      <c r="P96" s="1650"/>
      <c r="Q96" s="1650"/>
      <c r="R96" s="1650"/>
      <c r="S96" s="1650"/>
      <c r="T96" s="1650"/>
      <c r="U96" s="1650"/>
      <c r="V96" s="1650"/>
      <c r="W96" s="1650"/>
      <c r="X96" s="1650"/>
      <c r="Y96" s="1650"/>
      <c r="Z96" s="1650"/>
      <c r="AA96" s="1650"/>
      <c r="AB96" s="1650"/>
      <c r="AC96" s="1650"/>
      <c r="AD96" s="1650"/>
      <c r="AE96" s="1650"/>
      <c r="AF96" s="1650"/>
      <c r="AG96" s="1650"/>
      <c r="AH96" s="1650"/>
      <c r="AI96" s="1650"/>
      <c r="AJ96" s="1650"/>
      <c r="AK96" s="1650"/>
      <c r="AL96" s="1650"/>
      <c r="AM96" s="1650"/>
      <c r="AO96" s="1169"/>
      <c r="AP96" s="1645"/>
      <c r="AQ96" s="1645"/>
      <c r="AR96" s="1169"/>
      <c r="AS96" s="1169"/>
      <c r="AT96" s="1169"/>
      <c r="AU96" s="1169"/>
      <c r="AV96" s="1645"/>
      <c r="AW96" s="1169"/>
      <c r="AX96" s="1169"/>
      <c r="AY96" s="553"/>
      <c r="AZ96" s="1169"/>
      <c r="BA96" s="1169"/>
      <c r="BB96" s="1169"/>
      <c r="BC96" s="1169"/>
      <c r="BD96" s="1169"/>
      <c r="BE96" s="1641"/>
      <c r="BF96" s="575"/>
      <c r="BG96" s="575"/>
      <c r="BH96" s="575"/>
      <c r="BI96" s="575"/>
      <c r="BJ96" s="1650">
        <v>11</v>
      </c>
    </row>
    <row s="1650" customFormat="1" customHeight="1" ht="11.549999999999999">
      <c r="A97" s="996"/>
      <c r="B97" s="1645"/>
      <c r="C97" s="1645"/>
      <c r="D97" s="360"/>
      <c r="J97" s="1650"/>
      <c r="K97" s="1650"/>
      <c r="L97" s="1650"/>
      <c r="M97" s="1650"/>
      <c r="N97" s="1650"/>
      <c r="O97" s="1650"/>
      <c r="P97" s="1650"/>
      <c r="Q97" s="1650"/>
      <c r="R97" s="1650"/>
      <c r="S97" s="1650"/>
      <c r="T97" s="1650"/>
      <c r="U97" s="1650"/>
      <c r="V97" s="1650"/>
      <c r="W97" s="1650"/>
      <c r="X97" s="1650"/>
      <c r="Y97" s="1650"/>
      <c r="Z97" s="1650"/>
      <c r="AA97" s="1650"/>
      <c r="AB97" s="1650"/>
      <c r="AC97" s="1650"/>
      <c r="AD97" s="1650"/>
      <c r="AE97" s="1650"/>
      <c r="AF97" s="1650"/>
      <c r="AG97" s="1650"/>
      <c r="AH97" s="1650"/>
      <c r="AI97" s="1650"/>
      <c r="AJ97" s="1650"/>
      <c r="AK97" s="1650"/>
      <c r="AL97" s="1650"/>
      <c r="AM97" s="1650"/>
      <c r="AO97" s="1169"/>
      <c r="AP97" s="1645"/>
      <c r="AQ97" s="1645"/>
      <c r="AR97" s="1169"/>
      <c r="AS97" s="1169"/>
      <c r="AT97" s="1169"/>
      <c r="AU97" s="1169"/>
      <c r="AV97" s="1645"/>
      <c r="AW97" s="1169"/>
      <c r="AX97" s="1169"/>
      <c r="AY97" s="553"/>
      <c r="AZ97" s="1169"/>
      <c r="BA97" s="1169"/>
      <c r="BB97" s="1169"/>
      <c r="BC97" s="1169"/>
      <c r="BD97" s="1169"/>
      <c r="BE97" s="1641"/>
      <c r="BF97" s="575"/>
      <c r="BG97" s="575"/>
      <c r="BH97" s="575"/>
      <c r="BI97" s="575"/>
      <c r="BJ97" s="1650">
        <v>11</v>
      </c>
    </row>
    <row s="1650" customFormat="1" customHeight="1" ht="11.549999999999999">
      <c r="A98" s="996"/>
      <c r="B98" s="1645"/>
      <c r="C98" s="1645"/>
      <c r="D98" s="360"/>
      <c r="J98" s="1650"/>
      <c r="K98" s="1650"/>
      <c r="L98" s="1650"/>
      <c r="M98" s="1650"/>
      <c r="N98" s="1650"/>
      <c r="O98" s="1650"/>
      <c r="P98" s="1650"/>
      <c r="Q98" s="1650"/>
      <c r="R98" s="1650"/>
      <c r="S98" s="1650"/>
      <c r="T98" s="1650"/>
      <c r="U98" s="1650"/>
      <c r="V98" s="1650"/>
      <c r="W98" s="1650"/>
      <c r="X98" s="1650"/>
      <c r="Y98" s="1650"/>
      <c r="Z98" s="1650"/>
      <c r="AA98" s="1650"/>
      <c r="AB98" s="1650"/>
      <c r="AC98" s="1650"/>
      <c r="AD98" s="1650"/>
      <c r="AE98" s="1650"/>
      <c r="AF98" s="1650"/>
      <c r="AG98" s="1650"/>
      <c r="AH98" s="1650"/>
      <c r="AI98" s="1650"/>
      <c r="AJ98" s="1650"/>
      <c r="AK98" s="1650"/>
      <c r="AL98" s="1650"/>
      <c r="AM98" s="1650"/>
      <c r="AO98" s="1169"/>
      <c r="AP98" s="1645"/>
      <c r="AQ98" s="1645"/>
      <c r="AR98" s="1169"/>
      <c r="AS98" s="1169"/>
      <c r="AT98" s="1169"/>
      <c r="AU98" s="1169"/>
      <c r="AV98" s="1645"/>
      <c r="AW98" s="1169"/>
      <c r="AX98" s="1169"/>
      <c r="AY98" s="553"/>
      <c r="AZ98" s="1169"/>
      <c r="BA98" s="1169"/>
      <c r="BB98" s="1169"/>
      <c r="BC98" s="1169"/>
      <c r="BD98" s="1169"/>
      <c r="BE98" s="1641"/>
      <c r="BF98" s="575"/>
      <c r="BG98" s="575"/>
      <c r="BH98" s="575"/>
      <c r="BI98" s="575"/>
      <c r="BJ98" s="1650">
        <v>11</v>
      </c>
    </row>
    <row s="1650" customFormat="1" customHeight="1" ht="11.549999999999999">
      <c r="A99" s="996"/>
      <c r="B99" s="1645"/>
      <c r="C99" s="1645"/>
      <c r="D99" s="360"/>
      <c r="J99" s="1650"/>
      <c r="K99" s="1650"/>
      <c r="L99" s="1650"/>
      <c r="M99" s="1650"/>
      <c r="N99" s="1650"/>
      <c r="O99" s="1650"/>
      <c r="P99" s="1650"/>
      <c r="Q99" s="1650"/>
      <c r="R99" s="1650"/>
      <c r="S99" s="1650"/>
      <c r="T99" s="1650"/>
      <c r="U99" s="1650"/>
      <c r="V99" s="1650"/>
      <c r="W99" s="1650"/>
      <c r="X99" s="1650"/>
      <c r="Y99" s="1650"/>
      <c r="Z99" s="1650"/>
      <c r="AA99" s="1650"/>
      <c r="AB99" s="1650"/>
      <c r="AC99" s="1650"/>
      <c r="AD99" s="1650"/>
      <c r="AE99" s="1650"/>
      <c r="AF99" s="1650"/>
      <c r="AG99" s="1650"/>
      <c r="AH99" s="1650"/>
      <c r="AI99" s="1650"/>
      <c r="AJ99" s="1650"/>
      <c r="AK99" s="1650"/>
      <c r="AL99" s="1650"/>
      <c r="AM99" s="1650"/>
      <c r="AO99" s="1169"/>
      <c r="AP99" s="1645"/>
      <c r="AQ99" s="1645"/>
      <c r="AR99" s="1169"/>
      <c r="AS99" s="1169"/>
      <c r="AT99" s="1169"/>
      <c r="AU99" s="1169"/>
      <c r="AV99" s="1645"/>
      <c r="AW99" s="1169"/>
      <c r="AX99" s="1169"/>
      <c r="AY99" s="553"/>
      <c r="AZ99" s="1169"/>
      <c r="BA99" s="1169"/>
      <c r="BB99" s="1169"/>
      <c r="BC99" s="1169"/>
      <c r="BD99" s="1169"/>
      <c r="BE99" s="1641"/>
      <c r="BF99" s="575"/>
      <c r="BG99" s="575"/>
      <c r="BH99" s="575"/>
      <c r="BI99" s="575"/>
      <c r="BJ99" s="1650">
        <v>11</v>
      </c>
    </row>
    <row s="1650" customFormat="1" customHeight="1" ht="11.549999999999999">
      <c r="A100" s="996"/>
      <c r="B100" s="1645"/>
      <c r="C100" s="1645"/>
      <c r="D100" s="360"/>
      <c r="J100" s="1650"/>
      <c r="K100" s="1650"/>
      <c r="L100" s="1650"/>
      <c r="M100" s="1650"/>
      <c r="N100" s="1650"/>
      <c r="O100" s="1650"/>
      <c r="P100" s="1650"/>
      <c r="Q100" s="1650"/>
      <c r="R100" s="1650"/>
      <c r="S100" s="1650"/>
      <c r="T100" s="1650"/>
      <c r="U100" s="1650"/>
      <c r="V100" s="1650"/>
      <c r="W100" s="1650"/>
      <c r="X100" s="1650"/>
      <c r="Y100" s="1650"/>
      <c r="Z100" s="1650"/>
      <c r="AA100" s="1650"/>
      <c r="AB100" s="1650"/>
      <c r="AC100" s="1650"/>
      <c r="AD100" s="1650"/>
      <c r="AE100" s="1650"/>
      <c r="AF100" s="1650"/>
      <c r="AG100" s="1650"/>
      <c r="AH100" s="1650"/>
      <c r="AI100" s="1650"/>
      <c r="AJ100" s="1650"/>
      <c r="AK100" s="1650"/>
      <c r="AL100" s="1650"/>
      <c r="AM100" s="1650"/>
      <c r="AO100" s="1169"/>
      <c r="AP100" s="1645"/>
      <c r="AQ100" s="1645"/>
      <c r="AR100" s="1169"/>
      <c r="AS100" s="1169"/>
      <c r="AT100" s="1169"/>
      <c r="AU100" s="1169"/>
      <c r="AV100" s="1645"/>
      <c r="AW100" s="1169"/>
      <c r="AX100" s="1169"/>
      <c r="AY100" s="553"/>
      <c r="AZ100" s="1169"/>
      <c r="BA100" s="1169"/>
      <c r="BB100" s="1169"/>
      <c r="BC100" s="1169"/>
      <c r="BD100" s="1169"/>
      <c r="BE100" s="1641"/>
      <c r="BF100" s="575"/>
      <c r="BG100" s="575"/>
      <c r="BH100" s="575"/>
      <c r="BI100" s="575"/>
      <c r="BJ100" s="1650">
        <v>11</v>
      </c>
    </row>
    <row s="1650" customFormat="1" customHeight="1" ht="11.549999999999999">
      <c r="A101" s="996"/>
      <c r="B101" s="1645"/>
      <c r="C101" s="1645"/>
      <c r="D101" s="360"/>
      <c r="J101" s="1650"/>
      <c r="K101" s="1650"/>
      <c r="L101" s="1650"/>
      <c r="M101" s="1650"/>
      <c r="N101" s="1650"/>
      <c r="O101" s="1650"/>
      <c r="P101" s="1650"/>
      <c r="Q101" s="1650"/>
      <c r="R101" s="1650"/>
      <c r="S101" s="1650"/>
      <c r="T101" s="1650"/>
      <c r="U101" s="1650"/>
      <c r="V101" s="1650"/>
      <c r="W101" s="1650"/>
      <c r="X101" s="1650"/>
      <c r="Y101" s="1650"/>
      <c r="Z101" s="1650"/>
      <c r="AA101" s="1650"/>
      <c r="AB101" s="1650"/>
      <c r="AC101" s="1650"/>
      <c r="AD101" s="1650"/>
      <c r="AE101" s="1650"/>
      <c r="AF101" s="1650"/>
      <c r="AG101" s="1650"/>
      <c r="AH101" s="1650"/>
      <c r="AI101" s="1650"/>
      <c r="AJ101" s="1650"/>
      <c r="AK101" s="1650"/>
      <c r="AL101" s="1650"/>
      <c r="AM101" s="1650"/>
      <c r="AO101" s="1169"/>
      <c r="AP101" s="1645"/>
      <c r="AQ101" s="1645"/>
      <c r="AR101" s="1169"/>
      <c r="AS101" s="1169"/>
      <c r="AT101" s="1169"/>
      <c r="AU101" s="1169"/>
      <c r="AV101" s="1645"/>
      <c r="AW101" s="1169"/>
      <c r="AX101" s="1169"/>
      <c r="AY101" s="553"/>
      <c r="AZ101" s="1169"/>
      <c r="BA101" s="1169"/>
      <c r="BB101" s="1169"/>
      <c r="BC101" s="1169"/>
      <c r="BD101" s="1169"/>
      <c r="BE101" s="1641"/>
      <c r="BF101" s="575"/>
      <c r="BG101" s="575"/>
      <c r="BH101" s="575"/>
      <c r="BI101" s="575"/>
      <c r="BJ101" s="1650">
        <v>11</v>
      </c>
    </row>
    <row s="1650" customFormat="1" customHeight="1" ht="11.549999999999999">
      <c r="A102" s="996"/>
      <c r="B102" s="1645"/>
      <c r="C102" s="1645"/>
      <c r="D102" s="360"/>
      <c r="J102" s="1650"/>
      <c r="K102" s="1650"/>
      <c r="L102" s="1650"/>
      <c r="M102" s="1650"/>
      <c r="N102" s="1650"/>
      <c r="O102" s="1650"/>
      <c r="P102" s="1650"/>
      <c r="Q102" s="1650"/>
      <c r="R102" s="1650"/>
      <c r="S102" s="1650"/>
      <c r="T102" s="1650"/>
      <c r="U102" s="1650"/>
      <c r="V102" s="1650"/>
      <c r="W102" s="1650"/>
      <c r="X102" s="1650"/>
      <c r="Y102" s="1650"/>
      <c r="Z102" s="1650"/>
      <c r="AA102" s="1650"/>
      <c r="AB102" s="1650"/>
      <c r="AC102" s="1650"/>
      <c r="AD102" s="1650"/>
      <c r="AE102" s="1650"/>
      <c r="AF102" s="1650"/>
      <c r="AG102" s="1650"/>
      <c r="AH102" s="1650"/>
      <c r="AI102" s="1650"/>
      <c r="AJ102" s="1650"/>
      <c r="AK102" s="1650"/>
      <c r="AL102" s="1650"/>
      <c r="AM102" s="1650"/>
      <c r="AO102" s="1169"/>
      <c r="AP102" s="1645"/>
      <c r="AQ102" s="1645"/>
      <c r="AR102" s="1169"/>
      <c r="AS102" s="1169"/>
      <c r="AT102" s="1169"/>
      <c r="AU102" s="1169"/>
      <c r="AV102" s="1645"/>
      <c r="AW102" s="1169"/>
      <c r="AX102" s="1169"/>
      <c r="AY102" s="553"/>
      <c r="AZ102" s="1169"/>
      <c r="BA102" s="1169"/>
      <c r="BB102" s="1169"/>
      <c r="BC102" s="1169"/>
      <c r="BD102" s="1169"/>
      <c r="BE102" s="1641"/>
      <c r="BF102" s="575"/>
      <c r="BG102" s="575"/>
      <c r="BH102" s="575"/>
      <c r="BI102" s="575"/>
      <c r="BJ102" s="1650">
        <v>11</v>
      </c>
    </row>
    <row s="1650" customFormat="1" customHeight="1" ht="11.549999999999999">
      <c r="A103" s="996"/>
      <c r="B103" s="1645"/>
      <c r="C103" s="1645"/>
      <c r="D103" s="360"/>
      <c r="J103" s="1650"/>
      <c r="K103" s="1650"/>
      <c r="L103" s="1650"/>
      <c r="M103" s="1650"/>
      <c r="N103" s="1650"/>
      <c r="O103" s="1650"/>
      <c r="P103" s="1650"/>
      <c r="Q103" s="1650"/>
      <c r="R103" s="1650"/>
      <c r="S103" s="1650"/>
      <c r="T103" s="1650"/>
      <c r="U103" s="1650"/>
      <c r="V103" s="1650"/>
      <c r="W103" s="1650"/>
      <c r="X103" s="1650"/>
      <c r="Y103" s="1650"/>
      <c r="Z103" s="1650"/>
      <c r="AA103" s="1650"/>
      <c r="AB103" s="1650"/>
      <c r="AC103" s="1650"/>
      <c r="AD103" s="1650"/>
      <c r="AE103" s="1650"/>
      <c r="AF103" s="1650"/>
      <c r="AG103" s="1650"/>
      <c r="AH103" s="1650"/>
      <c r="AI103" s="1650"/>
      <c r="AJ103" s="1650"/>
      <c r="AK103" s="1650"/>
      <c r="AL103" s="1650"/>
      <c r="AM103" s="1650"/>
      <c r="AO103" s="1169"/>
      <c r="AP103" s="1645"/>
      <c r="AQ103" s="1645"/>
      <c r="AR103" s="1169"/>
      <c r="AS103" s="1169"/>
      <c r="AT103" s="1169"/>
      <c r="AU103" s="1169"/>
      <c r="AV103" s="1645"/>
      <c r="AW103" s="1169"/>
      <c r="AX103" s="1169"/>
      <c r="AY103" s="553"/>
      <c r="AZ103" s="1169"/>
      <c r="BA103" s="1169"/>
      <c r="BB103" s="1169"/>
      <c r="BC103" s="1169"/>
      <c r="BD103" s="1169"/>
      <c r="BE103" s="1641"/>
      <c r="BF103" s="575"/>
      <c r="BG103" s="575"/>
      <c r="BH103" s="575"/>
      <c r="BI103" s="575"/>
      <c r="BJ103" s="1650">
        <v>11</v>
      </c>
    </row>
    <row s="1650" customFormat="1" customHeight="1" ht="11.549999999999999">
      <c r="A104" s="996"/>
      <c r="B104" s="1645"/>
      <c r="C104" s="1645"/>
      <c r="D104" s="360"/>
      <c r="J104" s="1650"/>
      <c r="K104" s="1650"/>
      <c r="L104" s="1650"/>
      <c r="M104" s="1650"/>
      <c r="N104" s="1650"/>
      <c r="O104" s="1650"/>
      <c r="P104" s="1650"/>
      <c r="Q104" s="1650"/>
      <c r="R104" s="1650"/>
      <c r="S104" s="1650"/>
      <c r="T104" s="1650"/>
      <c r="U104" s="1650"/>
      <c r="V104" s="1650"/>
      <c r="W104" s="1650"/>
      <c r="X104" s="1650"/>
      <c r="Y104" s="1650"/>
      <c r="Z104" s="1650"/>
      <c r="AA104" s="1650"/>
      <c r="AB104" s="1650"/>
      <c r="AC104" s="1650"/>
      <c r="AD104" s="1650"/>
      <c r="AE104" s="1650"/>
      <c r="AF104" s="1650"/>
      <c r="AG104" s="1650"/>
      <c r="AH104" s="1650"/>
      <c r="AI104" s="1650"/>
      <c r="AJ104" s="1650"/>
      <c r="AK104" s="1650"/>
      <c r="AL104" s="1650"/>
      <c r="AM104" s="1650"/>
      <c r="AO104" s="1169"/>
      <c r="AP104" s="1645"/>
      <c r="AQ104" s="1645"/>
      <c r="AR104" s="1169"/>
      <c r="AS104" s="1169"/>
      <c r="AT104" s="1169"/>
      <c r="AU104" s="1169"/>
      <c r="AV104" s="1645"/>
      <c r="AW104" s="1169"/>
      <c r="AX104" s="1169"/>
      <c r="AY104" s="553"/>
      <c r="AZ104" s="1169"/>
      <c r="BA104" s="1169"/>
      <c r="BB104" s="1169"/>
      <c r="BC104" s="1169"/>
      <c r="BD104" s="1169"/>
      <c r="BE104" s="1641"/>
      <c r="BF104" s="575"/>
      <c r="BG104" s="575"/>
      <c r="BH104" s="575"/>
      <c r="BI104" s="575"/>
      <c r="BJ104" s="1650">
        <v>11</v>
      </c>
    </row>
    <row s="1650" customFormat="1" customHeight="1" ht="11.549999999999999">
      <c r="A105" s="996"/>
      <c r="B105" s="1645"/>
      <c r="C105" s="1645"/>
      <c r="D105" s="360"/>
      <c r="J105" s="1650"/>
      <c r="K105" s="1650"/>
      <c r="L105" s="1650"/>
      <c r="M105" s="1650"/>
      <c r="N105" s="1650"/>
      <c r="O105" s="1650"/>
      <c r="P105" s="1650"/>
      <c r="Q105" s="1650"/>
      <c r="R105" s="1650"/>
      <c r="S105" s="1650"/>
      <c r="T105" s="1650"/>
      <c r="U105" s="1650"/>
      <c r="V105" s="1650"/>
      <c r="W105" s="1650"/>
      <c r="X105" s="1650"/>
      <c r="Y105" s="1650"/>
      <c r="Z105" s="1650"/>
      <c r="AA105" s="1650"/>
      <c r="AB105" s="1650"/>
      <c r="AC105" s="1650"/>
      <c r="AD105" s="1650"/>
      <c r="AE105" s="1650"/>
      <c r="AF105" s="1650"/>
      <c r="AG105" s="1650"/>
      <c r="AH105" s="1650"/>
      <c r="AI105" s="1650"/>
      <c r="AJ105" s="1650"/>
      <c r="AK105" s="1650"/>
      <c r="AL105" s="1650"/>
      <c r="AM105" s="1650"/>
      <c r="AO105" s="1169"/>
      <c r="AP105" s="1645"/>
      <c r="AQ105" s="1645"/>
      <c r="AR105" s="1169"/>
      <c r="AS105" s="1169"/>
      <c r="AT105" s="1169"/>
      <c r="AU105" s="1169"/>
      <c r="AV105" s="1645"/>
      <c r="AW105" s="1169"/>
      <c r="AX105" s="1169"/>
      <c r="AY105" s="553"/>
      <c r="AZ105" s="1169"/>
      <c r="BA105" s="1169"/>
      <c r="BB105" s="1169"/>
      <c r="BC105" s="1169"/>
      <c r="BD105" s="1169"/>
      <c r="BE105" s="1641"/>
      <c r="BF105" s="575"/>
      <c r="BG105" s="575"/>
      <c r="BH105" s="575"/>
      <c r="BI105" s="575"/>
      <c r="BJ105" s="1650">
        <v>11</v>
      </c>
    </row>
    <row s="1650" customFormat="1" customHeight="1" ht="11.549999999999999">
      <c r="A106" s="996"/>
      <c r="B106" s="1645"/>
      <c r="C106" s="1645"/>
      <c r="D106" s="360"/>
      <c r="J106" s="1650"/>
      <c r="K106" s="1650"/>
      <c r="L106" s="1650"/>
      <c r="M106" s="1650"/>
      <c r="N106" s="1650"/>
      <c r="O106" s="1650"/>
      <c r="P106" s="1650"/>
      <c r="Q106" s="1650"/>
      <c r="R106" s="1650"/>
      <c r="S106" s="1650"/>
      <c r="T106" s="1650"/>
      <c r="U106" s="1650"/>
      <c r="V106" s="1650"/>
      <c r="W106" s="1650"/>
      <c r="X106" s="1650"/>
      <c r="Y106" s="1650"/>
      <c r="Z106" s="1650"/>
      <c r="AA106" s="1650"/>
      <c r="AB106" s="1650"/>
      <c r="AC106" s="1650"/>
      <c r="AD106" s="1650"/>
      <c r="AE106" s="1650"/>
      <c r="AF106" s="1650"/>
      <c r="AG106" s="1650"/>
      <c r="AH106" s="1650"/>
      <c r="AI106" s="1650"/>
      <c r="AJ106" s="1650"/>
      <c r="AK106" s="1650"/>
      <c r="AL106" s="1650"/>
      <c r="AM106" s="1650"/>
      <c r="AO106" s="1169"/>
      <c r="AP106" s="1645"/>
      <c r="AQ106" s="1645"/>
      <c r="AR106" s="1169"/>
      <c r="AS106" s="1169"/>
      <c r="AT106" s="1169"/>
      <c r="AU106" s="1169"/>
      <c r="AV106" s="1645"/>
      <c r="AW106" s="1169"/>
      <c r="AX106" s="1169"/>
      <c r="AY106" s="553"/>
      <c r="AZ106" s="1169"/>
      <c r="BA106" s="1169"/>
      <c r="BB106" s="1169"/>
      <c r="BC106" s="1169"/>
      <c r="BD106" s="1169"/>
      <c r="BE106" s="1641"/>
      <c r="BF106" s="575"/>
      <c r="BG106" s="575"/>
      <c r="BH106" s="575"/>
      <c r="BI106" s="575"/>
      <c r="BJ106" s="1650">
        <v>11</v>
      </c>
    </row>
    <row s="1650" customFormat="1" customHeight="1" ht="11.549999999999999">
      <c r="A107" s="996"/>
      <c r="B107" s="1645"/>
      <c r="C107" s="1645"/>
      <c r="D107" s="360"/>
      <c r="J107" s="1650"/>
      <c r="K107" s="1650"/>
      <c r="L107" s="1650"/>
      <c r="M107" s="1650"/>
      <c r="N107" s="1650"/>
      <c r="O107" s="1650"/>
      <c r="P107" s="1650"/>
      <c r="Q107" s="1650"/>
      <c r="R107" s="1650"/>
      <c r="S107" s="1650"/>
      <c r="T107" s="1650"/>
      <c r="U107" s="1650"/>
      <c r="V107" s="1650"/>
      <c r="W107" s="1650"/>
      <c r="X107" s="1650"/>
      <c r="Y107" s="1650"/>
      <c r="Z107" s="1650"/>
      <c r="AA107" s="1650"/>
      <c r="AB107" s="1650"/>
      <c r="AC107" s="1650"/>
      <c r="AD107" s="1650"/>
      <c r="AE107" s="1650"/>
      <c r="AF107" s="1650"/>
      <c r="AG107" s="1650"/>
      <c r="AH107" s="1650"/>
      <c r="AI107" s="1650"/>
      <c r="AJ107" s="1650"/>
      <c r="AK107" s="1650"/>
      <c r="AL107" s="1650"/>
      <c r="AM107" s="1650"/>
      <c r="AO107" s="1169"/>
      <c r="AP107" s="1645"/>
      <c r="AQ107" s="1645"/>
      <c r="AR107" s="1169"/>
      <c r="AS107" s="1169"/>
      <c r="AT107" s="1169"/>
      <c r="AU107" s="1169"/>
      <c r="AV107" s="1645"/>
      <c r="AW107" s="1169"/>
      <c r="AX107" s="1169"/>
      <c r="AY107" s="553"/>
      <c r="AZ107" s="1169"/>
      <c r="BA107" s="1169"/>
      <c r="BB107" s="1169"/>
      <c r="BC107" s="1169"/>
      <c r="BD107" s="1169"/>
      <c r="BE107" s="1641"/>
      <c r="BF107" s="575"/>
      <c r="BG107" s="575"/>
      <c r="BH107" s="575"/>
      <c r="BI107" s="575"/>
      <c r="BJ107" s="1650">
        <v>11</v>
      </c>
    </row>
    <row s="1650" customFormat="1" customHeight="1" ht="11.549999999999999">
      <c r="A108" s="996"/>
      <c r="B108" s="1645"/>
      <c r="C108" s="1645"/>
      <c r="D108" s="360"/>
      <c r="J108" s="1650"/>
      <c r="K108" s="1650"/>
      <c r="L108" s="1650"/>
      <c r="M108" s="1650"/>
      <c r="N108" s="1650"/>
      <c r="O108" s="1650"/>
      <c r="P108" s="1650"/>
      <c r="Q108" s="1650"/>
      <c r="R108" s="1650"/>
      <c r="S108" s="1650"/>
      <c r="T108" s="1650"/>
      <c r="U108" s="1650"/>
      <c r="V108" s="1650"/>
      <c r="W108" s="1650"/>
      <c r="X108" s="1650"/>
      <c r="Y108" s="1650"/>
      <c r="Z108" s="1650"/>
      <c r="AA108" s="1650"/>
      <c r="AB108" s="1650"/>
      <c r="AC108" s="1650"/>
      <c r="AD108" s="1650"/>
      <c r="AE108" s="1650"/>
      <c r="AF108" s="1650"/>
      <c r="AG108" s="1650"/>
      <c r="AH108" s="1650"/>
      <c r="AI108" s="1650"/>
      <c r="AJ108" s="1650"/>
      <c r="AK108" s="1650"/>
      <c r="AL108" s="1650"/>
      <c r="AM108" s="1650"/>
      <c r="AO108" s="1169"/>
      <c r="AP108" s="1645"/>
      <c r="AQ108" s="1645"/>
      <c r="AR108" s="1169"/>
      <c r="AS108" s="1169"/>
      <c r="AT108" s="1169"/>
      <c r="AU108" s="1169"/>
      <c r="AV108" s="1645"/>
      <c r="AW108" s="1169"/>
      <c r="AX108" s="1169"/>
      <c r="AY108" s="553"/>
      <c r="AZ108" s="1169"/>
      <c r="BA108" s="1169"/>
      <c r="BB108" s="1169"/>
      <c r="BC108" s="1169"/>
      <c r="BD108" s="1169"/>
      <c r="BE108" s="1641"/>
      <c r="BF108" s="575"/>
      <c r="BG108" s="575"/>
      <c r="BH108" s="575"/>
      <c r="BI108" s="575"/>
      <c r="BJ108" s="1650">
        <v>11</v>
      </c>
    </row>
    <row s="1650" customFormat="1" customHeight="1" ht="11.549999999999999">
      <c r="A109" s="996"/>
      <c r="B109" s="1645"/>
      <c r="C109" s="1645"/>
      <c r="D109" s="360"/>
      <c r="J109" s="1650"/>
      <c r="K109" s="1650"/>
      <c r="L109" s="1650"/>
      <c r="M109" s="1650"/>
      <c r="N109" s="1650"/>
      <c r="O109" s="1650"/>
      <c r="P109" s="1650"/>
      <c r="Q109" s="1650"/>
      <c r="R109" s="1650"/>
      <c r="S109" s="1650"/>
      <c r="T109" s="1650"/>
      <c r="U109" s="1650"/>
      <c r="V109" s="1650"/>
      <c r="W109" s="1650"/>
      <c r="X109" s="1650"/>
      <c r="Y109" s="1650"/>
      <c r="Z109" s="1650"/>
      <c r="AA109" s="1650"/>
      <c r="AB109" s="1650"/>
      <c r="AC109" s="1650"/>
      <c r="AD109" s="1650"/>
      <c r="AE109" s="1650"/>
      <c r="AF109" s="1650"/>
      <c r="AG109" s="1650"/>
      <c r="AH109" s="1650"/>
      <c r="AI109" s="1650"/>
      <c r="AJ109" s="1650"/>
      <c r="AK109" s="1650"/>
      <c r="AL109" s="1650"/>
      <c r="AM109" s="1650"/>
      <c r="AO109" s="1169"/>
      <c r="AP109" s="1645"/>
      <c r="AQ109" s="1645"/>
      <c r="AR109" s="1169"/>
      <c r="AS109" s="1169"/>
      <c r="AT109" s="1169"/>
      <c r="AU109" s="1169"/>
      <c r="AV109" s="1645"/>
      <c r="AW109" s="1169"/>
      <c r="AX109" s="1169"/>
      <c r="AY109" s="553"/>
      <c r="AZ109" s="1169"/>
      <c r="BA109" s="1169"/>
      <c r="BB109" s="1169"/>
      <c r="BC109" s="1169"/>
      <c r="BD109" s="1169"/>
      <c r="BE109" s="1641"/>
      <c r="BF109" s="575"/>
      <c r="BG109" s="575"/>
      <c r="BH109" s="575"/>
      <c r="BI109" s="575"/>
      <c r="BJ109" s="1650">
        <v>11</v>
      </c>
    </row>
    <row s="1650" customFormat="1" customHeight="1" ht="11.549999999999999">
      <c r="A110" s="996"/>
      <c r="B110" s="1645"/>
      <c r="C110" s="1645"/>
      <c r="D110" s="360"/>
      <c r="J110" s="1650"/>
      <c r="K110" s="1650"/>
      <c r="L110" s="1650"/>
      <c r="M110" s="1650"/>
      <c r="N110" s="1650"/>
      <c r="O110" s="1650"/>
      <c r="P110" s="1650"/>
      <c r="Q110" s="1650"/>
      <c r="R110" s="1650"/>
      <c r="S110" s="1650"/>
      <c r="T110" s="1650"/>
      <c r="U110" s="1650"/>
      <c r="V110" s="1650"/>
      <c r="W110" s="1650"/>
      <c r="X110" s="1650"/>
      <c r="Y110" s="1650"/>
      <c r="Z110" s="1650"/>
      <c r="AA110" s="1650"/>
      <c r="AB110" s="1650"/>
      <c r="AC110" s="1650"/>
      <c r="AD110" s="1650"/>
      <c r="AE110" s="1650"/>
      <c r="AF110" s="1650"/>
      <c r="AG110" s="1650"/>
      <c r="AH110" s="1650"/>
      <c r="AI110" s="1650"/>
      <c r="AJ110" s="1650"/>
      <c r="AK110" s="1650"/>
      <c r="AL110" s="1650"/>
      <c r="AM110" s="1650"/>
      <c r="AO110" s="1169"/>
      <c r="AP110" s="1645"/>
      <c r="AQ110" s="1645"/>
      <c r="AR110" s="1169"/>
      <c r="AS110" s="1169"/>
      <c r="AT110" s="1169"/>
      <c r="AU110" s="1169"/>
      <c r="AV110" s="1645"/>
      <c r="AW110" s="1169"/>
      <c r="AX110" s="1169"/>
      <c r="AY110" s="553"/>
      <c r="AZ110" s="1169"/>
      <c r="BA110" s="1169"/>
      <c r="BB110" s="1169"/>
      <c r="BC110" s="1169"/>
      <c r="BD110" s="1169"/>
      <c r="BE110" s="1641"/>
      <c r="BF110" s="575"/>
      <c r="BG110" s="575"/>
      <c r="BH110" s="575"/>
      <c r="BI110" s="575"/>
      <c r="BJ110" s="1650">
        <v>11</v>
      </c>
    </row>
    <row s="1650" customFormat="1" customHeight="1" ht="11.549999999999999">
      <c r="A111" s="996"/>
      <c r="B111" s="1645"/>
      <c r="C111" s="1645"/>
      <c r="D111" s="360"/>
      <c r="J111" s="1650"/>
      <c r="K111" s="1650"/>
      <c r="L111" s="1650"/>
      <c r="M111" s="1650"/>
      <c r="N111" s="1650"/>
      <c r="O111" s="1650"/>
      <c r="P111" s="1650"/>
      <c r="Q111" s="1650"/>
      <c r="R111" s="1650"/>
      <c r="S111" s="1650"/>
      <c r="T111" s="1650"/>
      <c r="U111" s="1650"/>
      <c r="V111" s="1650"/>
      <c r="W111" s="1650"/>
      <c r="X111" s="1650"/>
      <c r="Y111" s="1650"/>
      <c r="Z111" s="1650"/>
      <c r="AA111" s="1650"/>
      <c r="AB111" s="1650"/>
      <c r="AC111" s="1650"/>
      <c r="AD111" s="1650"/>
      <c r="AE111" s="1650"/>
      <c r="AF111" s="1650"/>
      <c r="AG111" s="1650"/>
      <c r="AH111" s="1650"/>
      <c r="AI111" s="1650"/>
      <c r="AJ111" s="1650"/>
      <c r="AK111" s="1650"/>
      <c r="AL111" s="1650"/>
      <c r="AM111" s="1650"/>
      <c r="AO111" s="1169"/>
      <c r="AP111" s="1645"/>
      <c r="AQ111" s="1645"/>
      <c r="AR111" s="1169"/>
      <c r="AS111" s="1169"/>
      <c r="AT111" s="1169"/>
      <c r="AU111" s="1169"/>
      <c r="AV111" s="1645"/>
      <c r="AW111" s="1169"/>
      <c r="AX111" s="1169"/>
      <c r="AY111" s="553"/>
      <c r="AZ111" s="1169"/>
      <c r="BA111" s="1169"/>
      <c r="BB111" s="1169"/>
      <c r="BC111" s="1169"/>
      <c r="BD111" s="1169"/>
      <c r="BE111" s="1641"/>
      <c r="BF111" s="575"/>
      <c r="BG111" s="575"/>
      <c r="BH111" s="575"/>
      <c r="BI111" s="575"/>
      <c r="BJ111" s="1650">
        <v>11</v>
      </c>
    </row>
    <row s="1650" customFormat="1" customHeight="1" ht="11.549999999999999">
      <c r="A112" s="996"/>
      <c r="B112" s="1645"/>
      <c r="C112" s="1645"/>
      <c r="D112" s="360"/>
      <c r="J112" s="1650"/>
      <c r="K112" s="1650"/>
      <c r="L112" s="1650"/>
      <c r="M112" s="1650"/>
      <c r="N112" s="1650"/>
      <c r="O112" s="1650"/>
      <c r="P112" s="1650"/>
      <c r="Q112" s="1650"/>
      <c r="R112" s="1650"/>
      <c r="S112" s="1650"/>
      <c r="T112" s="1650"/>
      <c r="U112" s="1650"/>
      <c r="V112" s="1650"/>
      <c r="W112" s="1650"/>
      <c r="X112" s="1650"/>
      <c r="Y112" s="1650"/>
      <c r="Z112" s="1650"/>
      <c r="AA112" s="1650"/>
      <c r="AB112" s="1650"/>
      <c r="AC112" s="1650"/>
      <c r="AD112" s="1650"/>
      <c r="AE112" s="1650"/>
      <c r="AF112" s="1650"/>
      <c r="AG112" s="1650"/>
      <c r="AH112" s="1650"/>
      <c r="AI112" s="1650"/>
      <c r="AJ112" s="1650"/>
      <c r="AK112" s="1650"/>
      <c r="AL112" s="1650"/>
      <c r="AM112" s="1650"/>
      <c r="AO112" s="1169"/>
      <c r="AP112" s="1645"/>
      <c r="AQ112" s="1645"/>
      <c r="AR112" s="1169"/>
      <c r="AS112" s="1169"/>
      <c r="AT112" s="1169"/>
      <c r="AU112" s="1169"/>
      <c r="AV112" s="1645"/>
      <c r="AW112" s="1169"/>
      <c r="AX112" s="1169"/>
      <c r="AY112" s="553"/>
      <c r="AZ112" s="1169"/>
      <c r="BA112" s="1169"/>
      <c r="BB112" s="1169"/>
      <c r="BC112" s="1169"/>
      <c r="BD112" s="1169"/>
      <c r="BE112" s="1641"/>
      <c r="BF112" s="575"/>
      <c r="BG112" s="575"/>
      <c r="BH112" s="575"/>
      <c r="BI112" s="575"/>
      <c r="BJ112" s="1650">
        <v>11</v>
      </c>
    </row>
    <row s="1650" customFormat="1" customHeight="1" ht="11.549999999999999">
      <c r="A113" s="996"/>
      <c r="B113" s="1645"/>
      <c r="C113" s="1645"/>
      <c r="D113" s="360"/>
      <c r="J113" s="1650"/>
      <c r="K113" s="1650"/>
      <c r="L113" s="1650"/>
      <c r="M113" s="1650"/>
      <c r="N113" s="1650"/>
      <c r="O113" s="1650"/>
      <c r="P113" s="1650"/>
      <c r="Q113" s="1650"/>
      <c r="R113" s="1650"/>
      <c r="S113" s="1650"/>
      <c r="T113" s="1650"/>
      <c r="U113" s="1650"/>
      <c r="V113" s="1650"/>
      <c r="W113" s="1650"/>
      <c r="X113" s="1650"/>
      <c r="Y113" s="1650"/>
      <c r="Z113" s="1650"/>
      <c r="AA113" s="1650"/>
      <c r="AB113" s="1650"/>
      <c r="AC113" s="1650"/>
      <c r="AD113" s="1650"/>
      <c r="AE113" s="1650"/>
      <c r="AF113" s="1650"/>
      <c r="AG113" s="1650"/>
      <c r="AH113" s="1650"/>
      <c r="AI113" s="1650"/>
      <c r="AJ113" s="1650"/>
      <c r="AK113" s="1650"/>
      <c r="AL113" s="1650"/>
      <c r="AM113" s="1650"/>
      <c r="AO113" s="1169"/>
      <c r="AP113" s="1645"/>
      <c r="AQ113" s="1645"/>
      <c r="AR113" s="1169"/>
      <c r="AS113" s="1169"/>
      <c r="AT113" s="1169"/>
      <c r="AU113" s="1169"/>
      <c r="AV113" s="1645"/>
      <c r="AW113" s="1169"/>
      <c r="AX113" s="1169"/>
      <c r="AY113" s="553"/>
      <c r="AZ113" s="1169"/>
      <c r="BA113" s="1169"/>
      <c r="BB113" s="1169"/>
      <c r="BC113" s="1169"/>
      <c r="BD113" s="1169"/>
      <c r="BE113" s="1641"/>
      <c r="BF113" s="575"/>
      <c r="BG113" s="575"/>
      <c r="BH113" s="575"/>
      <c r="BI113" s="575"/>
      <c r="BJ113" s="1650">
        <v>11</v>
      </c>
    </row>
    <row s="1650" customFormat="1" customHeight="1" ht="11.549999999999999">
      <c r="A114" s="996"/>
      <c r="B114" s="1645"/>
      <c r="C114" s="1645"/>
      <c r="D114" s="360"/>
      <c r="J114" s="1650"/>
      <c r="K114" s="1650"/>
      <c r="L114" s="1650"/>
      <c r="M114" s="1650"/>
      <c r="N114" s="1650"/>
      <c r="O114" s="1650"/>
      <c r="P114" s="1650"/>
      <c r="Q114" s="1650"/>
      <c r="R114" s="1650"/>
      <c r="S114" s="1650"/>
      <c r="T114" s="1650"/>
      <c r="U114" s="1650"/>
      <c r="V114" s="1650"/>
      <c r="W114" s="1650"/>
      <c r="X114" s="1650"/>
      <c r="Y114" s="1650"/>
      <c r="Z114" s="1650"/>
      <c r="AA114" s="1650"/>
      <c r="AB114" s="1650"/>
      <c r="AC114" s="1650"/>
      <c r="AD114" s="1650"/>
      <c r="AE114" s="1650"/>
      <c r="AF114" s="1650"/>
      <c r="AG114" s="1650"/>
      <c r="AH114" s="1650"/>
      <c r="AI114" s="1650"/>
      <c r="AJ114" s="1650"/>
      <c r="AK114" s="1650"/>
      <c r="AL114" s="1650"/>
      <c r="AM114" s="1650"/>
      <c r="AO114" s="1169"/>
      <c r="AP114" s="1645"/>
      <c r="AQ114" s="1645"/>
      <c r="AR114" s="1169"/>
      <c r="AS114" s="1169"/>
      <c r="AT114" s="1169"/>
      <c r="AU114" s="1169"/>
      <c r="AV114" s="1645"/>
      <c r="AW114" s="1169"/>
      <c r="AX114" s="1169"/>
      <c r="AY114" s="553"/>
      <c r="AZ114" s="1169"/>
      <c r="BA114" s="1169"/>
      <c r="BB114" s="1169"/>
      <c r="BC114" s="1169"/>
      <c r="BD114" s="1169"/>
      <c r="BE114" s="1641"/>
      <c r="BF114" s="575"/>
      <c r="BG114" s="575"/>
      <c r="BH114" s="575"/>
      <c r="BI114" s="575"/>
      <c r="BJ114" s="1650">
        <v>11</v>
      </c>
    </row>
    <row s="1650" customFormat="1" customHeight="1" ht="11.549999999999999">
      <c r="A115" s="996"/>
      <c r="B115" s="1645"/>
      <c r="C115" s="1645"/>
      <c r="D115" s="360"/>
      <c r="J115" s="1650"/>
      <c r="K115" s="1650"/>
      <c r="L115" s="1650"/>
      <c r="M115" s="1650"/>
      <c r="N115" s="1650"/>
      <c r="O115" s="1650"/>
      <c r="P115" s="1650"/>
      <c r="Q115" s="1650"/>
      <c r="R115" s="1650"/>
      <c r="S115" s="1650"/>
      <c r="T115" s="1650"/>
      <c r="U115" s="1650"/>
      <c r="V115" s="1650"/>
      <c r="W115" s="1650"/>
      <c r="X115" s="1650"/>
      <c r="Y115" s="1650"/>
      <c r="Z115" s="1650"/>
      <c r="AA115" s="1650"/>
      <c r="AB115" s="1650"/>
      <c r="AC115" s="1650"/>
      <c r="AD115" s="1650"/>
      <c r="AE115" s="1650"/>
      <c r="AF115" s="1650"/>
      <c r="AG115" s="1650"/>
      <c r="AH115" s="1650"/>
      <c r="AI115" s="1650"/>
      <c r="AJ115" s="1650"/>
      <c r="AK115" s="1650"/>
      <c r="AL115" s="1650"/>
      <c r="AM115" s="1650"/>
      <c r="AO115" s="1169"/>
      <c r="AP115" s="1645"/>
      <c r="AQ115" s="1645"/>
      <c r="AR115" s="1169"/>
      <c r="AS115" s="1169"/>
      <c r="AT115" s="1169"/>
      <c r="AU115" s="1169"/>
      <c r="AV115" s="1645"/>
      <c r="AW115" s="1169"/>
      <c r="AX115" s="1169"/>
      <c r="AY115" s="553"/>
      <c r="AZ115" s="1169"/>
      <c r="BA115" s="1169"/>
      <c r="BB115" s="1169"/>
      <c r="BC115" s="1169"/>
      <c r="BD115" s="1169"/>
      <c r="BE115" s="1641"/>
      <c r="BF115" s="575"/>
      <c r="BG115" s="575"/>
      <c r="BH115" s="575"/>
      <c r="BI115" s="575"/>
      <c r="BJ115" s="1650">
        <v>11</v>
      </c>
    </row>
    <row s="1650" customFormat="1" customHeight="1" ht="11.549999999999999">
      <c r="A116" s="996"/>
      <c r="B116" s="1645"/>
      <c r="C116" s="1645"/>
      <c r="D116" s="36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I116" s="1650"/>
      <c r="AJ116" s="1650"/>
      <c r="AK116" s="1650"/>
      <c r="AL116" s="1650"/>
      <c r="AM116" s="1650"/>
      <c r="AO116" s="1169"/>
      <c r="AP116" s="1645"/>
      <c r="AQ116" s="1645"/>
      <c r="AR116" s="1169"/>
      <c r="AS116" s="1169"/>
      <c r="AT116" s="1169"/>
      <c r="AU116" s="1169"/>
      <c r="AV116" s="1645"/>
      <c r="AW116" s="1169"/>
      <c r="AX116" s="1169"/>
      <c r="AY116" s="553"/>
      <c r="AZ116" s="1169"/>
      <c r="BA116" s="1169"/>
      <c r="BB116" s="1169"/>
      <c r="BC116" s="1169"/>
      <c r="BD116" s="1169"/>
      <c r="BE116" s="1641"/>
      <c r="BF116" s="575"/>
      <c r="BG116" s="575"/>
      <c r="BH116" s="575"/>
      <c r="BI116" s="575"/>
      <c r="BJ116" s="1650">
        <v>11</v>
      </c>
    </row>
    <row s="1650" customFormat="1" customHeight="1" ht="11.549999999999999">
      <c r="A117" s="996"/>
      <c r="B117" s="1645"/>
      <c r="C117" s="1645"/>
      <c r="D117" s="36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I117" s="1650"/>
      <c r="AJ117" s="1650"/>
      <c r="AK117" s="1650"/>
      <c r="AL117" s="1650"/>
      <c r="AM117" s="1650"/>
      <c r="AO117" s="1169"/>
      <c r="AP117" s="1645"/>
      <c r="AQ117" s="1645"/>
      <c r="AR117" s="1169"/>
      <c r="AS117" s="1169"/>
      <c r="AT117" s="1169"/>
      <c r="AU117" s="1169"/>
      <c r="AV117" s="1645"/>
      <c r="AW117" s="1169"/>
      <c r="AX117" s="1169"/>
      <c r="AY117" s="553"/>
      <c r="AZ117" s="1169"/>
      <c r="BA117" s="1169"/>
      <c r="BB117" s="1169"/>
      <c r="BC117" s="1169"/>
      <c r="BD117" s="1169"/>
      <c r="BE117" s="1641"/>
      <c r="BF117" s="575"/>
      <c r="BG117" s="575"/>
      <c r="BH117" s="575"/>
      <c r="BI117" s="575"/>
      <c r="BJ117" s="1650">
        <v>11</v>
      </c>
    </row>
    <row s="1650" customFormat="1" customHeight="1" ht="11.549999999999999">
      <c r="A118" s="996"/>
      <c r="B118" s="1645"/>
      <c r="C118" s="1645"/>
      <c r="D118" s="360"/>
      <c r="J118" s="1650"/>
      <c r="K118" s="1650"/>
      <c r="L118" s="1650"/>
      <c r="M118" s="1650"/>
      <c r="N118" s="1650"/>
      <c r="O118" s="1650"/>
      <c r="P118" s="1650"/>
      <c r="Q118" s="1650"/>
      <c r="R118" s="1650"/>
      <c r="S118" s="1650"/>
      <c r="T118" s="1650"/>
      <c r="U118" s="1650"/>
      <c r="V118" s="1650"/>
      <c r="W118" s="1650"/>
      <c r="X118" s="1650"/>
      <c r="Y118" s="1650"/>
      <c r="Z118" s="1650"/>
      <c r="AA118" s="1650"/>
      <c r="AB118" s="1650"/>
      <c r="AC118" s="1650"/>
      <c r="AD118" s="1650"/>
      <c r="AE118" s="1650"/>
      <c r="AF118" s="1650"/>
      <c r="AG118" s="1650"/>
      <c r="AH118" s="1650"/>
      <c r="AI118" s="1650"/>
      <c r="AJ118" s="1650"/>
      <c r="AK118" s="1650"/>
      <c r="AL118" s="1650"/>
      <c r="AM118" s="1650"/>
      <c r="AO118" s="1169"/>
      <c r="AP118" s="1645"/>
      <c r="AQ118" s="1645"/>
      <c r="AR118" s="1169"/>
      <c r="AS118" s="1169"/>
      <c r="AT118" s="1169"/>
      <c r="AU118" s="1169"/>
      <c r="AV118" s="1645"/>
      <c r="AW118" s="1169"/>
      <c r="AX118" s="1169"/>
      <c r="AY118" s="553"/>
      <c r="AZ118" s="1169"/>
      <c r="BA118" s="1169"/>
      <c r="BB118" s="1169"/>
      <c r="BC118" s="1169"/>
      <c r="BD118" s="1169"/>
      <c r="BE118" s="1641"/>
      <c r="BF118" s="575"/>
      <c r="BG118" s="575"/>
      <c r="BH118" s="575"/>
      <c r="BI118" s="575"/>
      <c r="BJ118" s="1650">
        <v>11</v>
      </c>
    </row>
    <row s="1650" customFormat="1" customHeight="1" ht="11.549999999999999">
      <c r="A119" s="996"/>
      <c r="B119" s="1645"/>
      <c r="C119" s="1645"/>
      <c r="D119" s="360"/>
      <c r="J119" s="1650"/>
      <c r="K119" s="1650"/>
      <c r="L119" s="1650"/>
      <c r="M119" s="1650"/>
      <c r="N119" s="1650"/>
      <c r="O119" s="1650"/>
      <c r="P119" s="1650"/>
      <c r="Q119" s="1650"/>
      <c r="R119" s="1650"/>
      <c r="S119" s="1650"/>
      <c r="T119" s="1650"/>
      <c r="U119" s="1650"/>
      <c r="V119" s="1650"/>
      <c r="W119" s="1650"/>
      <c r="X119" s="1650"/>
      <c r="Y119" s="1650"/>
      <c r="Z119" s="1650"/>
      <c r="AA119" s="1650"/>
      <c r="AB119" s="1650"/>
      <c r="AC119" s="1650"/>
      <c r="AD119" s="1650"/>
      <c r="AE119" s="1650"/>
      <c r="AF119" s="1650"/>
      <c r="AG119" s="1650"/>
      <c r="AH119" s="1650"/>
      <c r="AI119" s="1650"/>
      <c r="AJ119" s="1650"/>
      <c r="AK119" s="1650"/>
      <c r="AL119" s="1650"/>
      <c r="AM119" s="1650"/>
      <c r="AO119" s="1169"/>
      <c r="AP119" s="1645"/>
      <c r="AQ119" s="1645"/>
      <c r="AR119" s="1169"/>
      <c r="AS119" s="1169"/>
      <c r="AT119" s="1169"/>
      <c r="AU119" s="1169"/>
      <c r="AV119" s="1645"/>
      <c r="AW119" s="1169"/>
      <c r="AX119" s="1169"/>
      <c r="AY119" s="553"/>
      <c r="AZ119" s="1169"/>
      <c r="BA119" s="1169"/>
      <c r="BB119" s="1169"/>
      <c r="BC119" s="1169"/>
      <c r="BD119" s="1169"/>
      <c r="BE119" s="1641"/>
      <c r="BF119" s="575"/>
      <c r="BG119" s="575"/>
      <c r="BH119" s="575"/>
      <c r="BI119" s="575"/>
      <c r="BJ119" s="1650">
        <v>11</v>
      </c>
    </row>
    <row s="1650" customFormat="1" customHeight="1" ht="11.549999999999999">
      <c r="A120" s="996"/>
      <c r="B120" s="1645"/>
      <c r="C120" s="1645"/>
      <c r="D120" s="36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1650"/>
      <c r="AI120" s="1650"/>
      <c r="AJ120" s="1650"/>
      <c r="AK120" s="1650"/>
      <c r="AL120" s="1650"/>
      <c r="AM120" s="1650"/>
      <c r="AO120" s="1169"/>
      <c r="AP120" s="1645"/>
      <c r="AQ120" s="1645"/>
      <c r="AR120" s="1169"/>
      <c r="AS120" s="1169"/>
      <c r="AT120" s="1169"/>
      <c r="AU120" s="1169"/>
      <c r="AV120" s="1645"/>
      <c r="AW120" s="1169"/>
      <c r="AX120" s="1169"/>
      <c r="AY120" s="553"/>
      <c r="AZ120" s="1169"/>
      <c r="BA120" s="1169"/>
      <c r="BB120" s="1169"/>
      <c r="BC120" s="1169"/>
      <c r="BD120" s="1169"/>
      <c r="BE120" s="1641"/>
      <c r="BF120" s="575"/>
      <c r="BG120" s="575"/>
      <c r="BH120" s="575"/>
      <c r="BI120" s="575"/>
      <c r="BJ120" s="1650">
        <v>11</v>
      </c>
    </row>
    <row s="1650" customFormat="1" customHeight="1" ht="11.549999999999999">
      <c r="A121" s="996"/>
      <c r="B121" s="1645"/>
      <c r="C121" s="1645"/>
      <c r="D121" s="36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1650"/>
      <c r="AI121" s="1650"/>
      <c r="AJ121" s="1650"/>
      <c r="AK121" s="1650"/>
      <c r="AL121" s="1650"/>
      <c r="AM121" s="1650"/>
      <c r="AO121" s="1169"/>
      <c r="AP121" s="1645"/>
      <c r="AQ121" s="1645"/>
      <c r="AR121" s="1169"/>
      <c r="AS121" s="1169"/>
      <c r="AT121" s="1169"/>
      <c r="AU121" s="1169"/>
      <c r="AV121" s="1645"/>
      <c r="AW121" s="1169"/>
      <c r="AX121" s="1169"/>
      <c r="AY121" s="553"/>
      <c r="AZ121" s="1169"/>
      <c r="BA121" s="1169"/>
      <c r="BB121" s="1169"/>
      <c r="BC121" s="1169"/>
      <c r="BD121" s="1169"/>
      <c r="BE121" s="1641"/>
      <c r="BF121" s="575"/>
      <c r="BG121" s="575"/>
      <c r="BH121" s="575"/>
      <c r="BI121" s="575"/>
      <c r="BJ121" s="1650">
        <v>11</v>
      </c>
    </row>
    <row s="1650" customFormat="1" customHeight="1" ht="11.549999999999999">
      <c r="A122" s="996"/>
      <c r="B122" s="1645"/>
      <c r="C122" s="1645"/>
      <c r="D122" s="36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1650"/>
      <c r="AI122" s="1650"/>
      <c r="AJ122" s="1650"/>
      <c r="AK122" s="1650"/>
      <c r="AL122" s="1650"/>
      <c r="AM122" s="1650"/>
      <c r="AO122" s="1169"/>
      <c r="AP122" s="1645"/>
      <c r="AQ122" s="1645"/>
      <c r="AR122" s="1169"/>
      <c r="AS122" s="1169"/>
      <c r="AT122" s="1169"/>
      <c r="AU122" s="1169"/>
      <c r="AV122" s="1645"/>
      <c r="AW122" s="1169"/>
      <c r="AX122" s="1169"/>
      <c r="AY122" s="553"/>
      <c r="AZ122" s="1169"/>
      <c r="BA122" s="1169"/>
      <c r="BB122" s="1169"/>
      <c r="BC122" s="1169"/>
      <c r="BD122" s="1169"/>
      <c r="BE122" s="1641"/>
      <c r="BF122" s="575"/>
      <c r="BG122" s="575"/>
      <c r="BH122" s="575"/>
      <c r="BI122" s="575"/>
      <c r="BJ122" s="1650">
        <v>11</v>
      </c>
    </row>
    <row s="1650" customFormat="1" customHeight="1" ht="11.549999999999999">
      <c r="A123" s="996"/>
      <c r="B123" s="1645"/>
      <c r="C123" s="1645"/>
      <c r="D123" s="360"/>
      <c r="J123" s="1650"/>
      <c r="K123" s="1650"/>
      <c r="L123" s="1650"/>
      <c r="M123" s="1650"/>
      <c r="N123" s="1650"/>
      <c r="O123" s="1650"/>
      <c r="P123" s="1650"/>
      <c r="Q123" s="1650"/>
      <c r="R123" s="1650"/>
      <c r="S123" s="1650"/>
      <c r="T123" s="1650"/>
      <c r="U123" s="1650"/>
      <c r="V123" s="1650"/>
      <c r="W123" s="1650"/>
      <c r="X123" s="1650"/>
      <c r="Y123" s="1650"/>
      <c r="Z123" s="1650"/>
      <c r="AA123" s="1650"/>
      <c r="AB123" s="1650"/>
      <c r="AC123" s="1650"/>
      <c r="AD123" s="1650"/>
      <c r="AE123" s="1650"/>
      <c r="AF123" s="1650"/>
      <c r="AG123" s="1650"/>
      <c r="AH123" s="1650"/>
      <c r="AI123" s="1650"/>
      <c r="AJ123" s="1650"/>
      <c r="AK123" s="1650"/>
      <c r="AL123" s="1650"/>
      <c r="AM123" s="1650"/>
      <c r="AO123" s="1169"/>
      <c r="AP123" s="1645"/>
      <c r="AQ123" s="1645"/>
      <c r="AR123" s="1169"/>
      <c r="AS123" s="1169"/>
      <c r="AT123" s="1169"/>
      <c r="AU123" s="1169"/>
      <c r="AV123" s="1645"/>
      <c r="AW123" s="1169"/>
      <c r="AX123" s="1169"/>
      <c r="AY123" s="553"/>
      <c r="AZ123" s="1169"/>
      <c r="BA123" s="1169"/>
      <c r="BB123" s="1169"/>
      <c r="BC123" s="1169"/>
      <c r="BD123" s="1169"/>
      <c r="BE123" s="1641"/>
      <c r="BF123" s="575"/>
      <c r="BG123" s="575"/>
      <c r="BH123" s="575"/>
      <c r="BI123" s="575"/>
      <c r="BJ123" s="1650">
        <v>11</v>
      </c>
    </row>
    <row s="1650" customFormat="1" customHeight="1" ht="11.549999999999999">
      <c r="A124" s="996"/>
      <c r="B124" s="1645"/>
      <c r="C124" s="1645"/>
      <c r="D124" s="360"/>
      <c r="J124" s="1650"/>
      <c r="K124" s="1650"/>
      <c r="L124" s="1650"/>
      <c r="M124" s="1650"/>
      <c r="N124" s="1650"/>
      <c r="O124" s="1650"/>
      <c r="P124" s="1650"/>
      <c r="Q124" s="1650"/>
      <c r="R124" s="1650"/>
      <c r="S124" s="1650"/>
      <c r="T124" s="1650"/>
      <c r="U124" s="1650"/>
      <c r="V124" s="1650"/>
      <c r="W124" s="1650"/>
      <c r="X124" s="1650"/>
      <c r="Y124" s="1650"/>
      <c r="Z124" s="1650"/>
      <c r="AA124" s="1650"/>
      <c r="AB124" s="1650"/>
      <c r="AC124" s="1650"/>
      <c r="AD124" s="1650"/>
      <c r="AE124" s="1650"/>
      <c r="AF124" s="1650"/>
      <c r="AG124" s="1650"/>
      <c r="AH124" s="1650"/>
      <c r="AI124" s="1650"/>
      <c r="AJ124" s="1650"/>
      <c r="AK124" s="1650"/>
      <c r="AL124" s="1650"/>
      <c r="AM124" s="1650"/>
      <c r="AO124" s="1169"/>
      <c r="AP124" s="1645"/>
      <c r="AQ124" s="1645"/>
      <c r="AR124" s="1169"/>
      <c r="AS124" s="1169"/>
      <c r="AT124" s="1169"/>
      <c r="AU124" s="1169"/>
      <c r="AV124" s="1645"/>
      <c r="AW124" s="1169"/>
      <c r="AX124" s="1169"/>
      <c r="AY124" s="553"/>
      <c r="AZ124" s="1169"/>
      <c r="BA124" s="1169"/>
      <c r="BB124" s="1169"/>
      <c r="BC124" s="1169"/>
      <c r="BD124" s="1169"/>
      <c r="BE124" s="1641"/>
      <c r="BF124" s="575"/>
      <c r="BG124" s="575"/>
      <c r="BH124" s="575"/>
      <c r="BI124" s="575"/>
      <c r="BJ124" s="1650">
        <v>11</v>
      </c>
    </row>
    <row s="1650" customFormat="1" customHeight="1" ht="11.549999999999999">
      <c r="A125" s="996"/>
      <c r="B125" s="1645"/>
      <c r="C125" s="1645"/>
      <c r="D125" s="360"/>
      <c r="J125" s="1650"/>
      <c r="K125" s="1650"/>
      <c r="L125" s="1650"/>
      <c r="M125" s="1650"/>
      <c r="N125" s="1650"/>
      <c r="O125" s="1650"/>
      <c r="P125" s="1650"/>
      <c r="Q125" s="1650"/>
      <c r="R125" s="1650"/>
      <c r="S125" s="1650"/>
      <c r="T125" s="1650"/>
      <c r="U125" s="1650"/>
      <c r="V125" s="1650"/>
      <c r="W125" s="1650"/>
      <c r="X125" s="1650"/>
      <c r="Y125" s="1650"/>
      <c r="Z125" s="1650"/>
      <c r="AA125" s="1650"/>
      <c r="AB125" s="1650"/>
      <c r="AC125" s="1650"/>
      <c r="AD125" s="1650"/>
      <c r="AE125" s="1650"/>
      <c r="AF125" s="1650"/>
      <c r="AG125" s="1650"/>
      <c r="AH125" s="1650"/>
      <c r="AI125" s="1650"/>
      <c r="AJ125" s="1650"/>
      <c r="AK125" s="1650"/>
      <c r="AL125" s="1650"/>
      <c r="AM125" s="1650"/>
      <c r="AO125" s="1169"/>
      <c r="AP125" s="1645"/>
      <c r="AQ125" s="1645"/>
      <c r="AR125" s="1169"/>
      <c r="AS125" s="1169"/>
      <c r="AT125" s="1169"/>
      <c r="AU125" s="1169"/>
      <c r="AV125" s="1645"/>
      <c r="AW125" s="1169"/>
      <c r="AX125" s="1169"/>
      <c r="AY125" s="553"/>
      <c r="AZ125" s="1169"/>
      <c r="BA125" s="1169"/>
      <c r="BB125" s="1169"/>
      <c r="BC125" s="1169"/>
      <c r="BD125" s="1169"/>
      <c r="BE125" s="1641"/>
      <c r="BF125" s="575"/>
      <c r="BG125" s="575"/>
      <c r="BH125" s="575"/>
      <c r="BI125" s="575"/>
      <c r="BJ125" s="1650">
        <v>11</v>
      </c>
    </row>
    <row s="1650" customFormat="1" customHeight="1" ht="11.549999999999999">
      <c r="A126" s="996"/>
      <c r="B126" s="1645"/>
      <c r="C126" s="1645"/>
      <c r="D126" s="360"/>
      <c r="J126" s="1650"/>
      <c r="K126" s="1650"/>
      <c r="L126" s="1650"/>
      <c r="M126" s="1650"/>
      <c r="N126" s="1650"/>
      <c r="O126" s="1650"/>
      <c r="P126" s="1650"/>
      <c r="Q126" s="1650"/>
      <c r="R126" s="1650"/>
      <c r="S126" s="1650"/>
      <c r="T126" s="1650"/>
      <c r="U126" s="1650"/>
      <c r="V126" s="1650"/>
      <c r="W126" s="1650"/>
      <c r="X126" s="1650"/>
      <c r="Y126" s="1650"/>
      <c r="Z126" s="1650"/>
      <c r="AA126" s="1650"/>
      <c r="AB126" s="1650"/>
      <c r="AC126" s="1650"/>
      <c r="AD126" s="1650"/>
      <c r="AE126" s="1650"/>
      <c r="AF126" s="1650"/>
      <c r="AG126" s="1650"/>
      <c r="AH126" s="1650"/>
      <c r="AI126" s="1650"/>
      <c r="AJ126" s="1650"/>
      <c r="AK126" s="1650"/>
      <c r="AL126" s="1650"/>
      <c r="AM126" s="1650"/>
      <c r="AO126" s="1169"/>
      <c r="AP126" s="1645"/>
      <c r="AQ126" s="1645"/>
      <c r="AR126" s="1169"/>
      <c r="AS126" s="1169"/>
      <c r="AT126" s="1169"/>
      <c r="AU126" s="1169"/>
      <c r="AV126" s="1645"/>
      <c r="AW126" s="1169"/>
      <c r="AX126" s="1169"/>
      <c r="AY126" s="553"/>
      <c r="AZ126" s="1169"/>
      <c r="BA126" s="1169"/>
      <c r="BB126" s="1169"/>
      <c r="BC126" s="1169"/>
      <c r="BD126" s="1169"/>
      <c r="BE126" s="1641"/>
      <c r="BF126" s="575"/>
      <c r="BG126" s="575"/>
      <c r="BH126" s="575"/>
      <c r="BI126" s="575"/>
      <c r="BJ126" s="1650">
        <v>11</v>
      </c>
    </row>
    <row s="1650" customFormat="1" customHeight="1" ht="11.549999999999999">
      <c r="A127" s="996"/>
      <c r="B127" s="1645"/>
      <c r="C127" s="1645"/>
      <c r="D127" s="360"/>
      <c r="J127" s="1650"/>
      <c r="K127" s="1650"/>
      <c r="L127" s="1650"/>
      <c r="M127" s="1650"/>
      <c r="N127" s="1650"/>
      <c r="O127" s="1650"/>
      <c r="P127" s="1650"/>
      <c r="Q127" s="1650"/>
      <c r="R127" s="1650"/>
      <c r="S127" s="1650"/>
      <c r="T127" s="1650"/>
      <c r="U127" s="1650"/>
      <c r="V127" s="1650"/>
      <c r="W127" s="1650"/>
      <c r="X127" s="1650"/>
      <c r="Y127" s="1650"/>
      <c r="Z127" s="1650"/>
      <c r="AA127" s="1650"/>
      <c r="AB127" s="1650"/>
      <c r="AC127" s="1650"/>
      <c r="AD127" s="1650"/>
      <c r="AE127" s="1650"/>
      <c r="AF127" s="1650"/>
      <c r="AG127" s="1650"/>
      <c r="AH127" s="1650"/>
      <c r="AI127" s="1650"/>
      <c r="AJ127" s="1650"/>
      <c r="AK127" s="1650"/>
      <c r="AL127" s="1650"/>
      <c r="AM127" s="1650"/>
      <c r="AO127" s="1169"/>
      <c r="AP127" s="1645"/>
      <c r="AQ127" s="1645"/>
      <c r="AR127" s="1169"/>
      <c r="AS127" s="1169"/>
      <c r="AT127" s="1169"/>
      <c r="AU127" s="1169"/>
      <c r="AV127" s="1645"/>
      <c r="AW127" s="1169"/>
      <c r="AX127" s="1169"/>
      <c r="AY127" s="553"/>
      <c r="AZ127" s="1169"/>
      <c r="BA127" s="1169"/>
      <c r="BB127" s="1169"/>
      <c r="BC127" s="1169"/>
      <c r="BD127" s="1169"/>
      <c r="BE127" s="1641"/>
      <c r="BF127" s="575"/>
      <c r="BG127" s="575"/>
      <c r="BH127" s="575"/>
      <c r="BI127" s="575"/>
      <c r="BJ127" s="1650">
        <v>11</v>
      </c>
    </row>
    <row s="1650" customFormat="1" customHeight="1" ht="11.549999999999999">
      <c r="A128" s="996"/>
      <c r="B128" s="1645"/>
      <c r="C128" s="1645"/>
      <c r="D128" s="360"/>
      <c r="J128" s="1650"/>
      <c r="K128" s="1650"/>
      <c r="L128" s="1650"/>
      <c r="M128" s="1650"/>
      <c r="N128" s="1650"/>
      <c r="O128" s="1650"/>
      <c r="P128" s="1650"/>
      <c r="Q128" s="1650"/>
      <c r="R128" s="1650"/>
      <c r="S128" s="1650"/>
      <c r="T128" s="1650"/>
      <c r="U128" s="1650"/>
      <c r="V128" s="1650"/>
      <c r="W128" s="1650"/>
      <c r="X128" s="1650"/>
      <c r="Y128" s="1650"/>
      <c r="Z128" s="1650"/>
      <c r="AA128" s="1650"/>
      <c r="AB128" s="1650"/>
      <c r="AC128" s="1650"/>
      <c r="AD128" s="1650"/>
      <c r="AE128" s="1650"/>
      <c r="AF128" s="1650"/>
      <c r="AG128" s="1650"/>
      <c r="AH128" s="1650"/>
      <c r="AI128" s="1650"/>
      <c r="AJ128" s="1650"/>
      <c r="AK128" s="1650"/>
      <c r="AL128" s="1650"/>
      <c r="AM128" s="1650"/>
      <c r="AO128" s="1169"/>
      <c r="AP128" s="1645"/>
      <c r="AQ128" s="1645"/>
      <c r="AR128" s="1169"/>
      <c r="AS128" s="1169"/>
      <c r="AT128" s="1169"/>
      <c r="AU128" s="1169"/>
      <c r="AV128" s="1645"/>
      <c r="AW128" s="1169"/>
      <c r="AX128" s="1169"/>
      <c r="AY128" s="553"/>
      <c r="AZ128" s="1169"/>
      <c r="BA128" s="1169"/>
      <c r="BB128" s="1169"/>
      <c r="BC128" s="1169"/>
      <c r="BD128" s="1169"/>
      <c r="BE128" s="1641"/>
      <c r="BF128" s="575"/>
      <c r="BG128" s="575"/>
      <c r="BH128" s="575"/>
      <c r="BI128" s="575"/>
      <c r="BJ128" s="1650">
        <v>11</v>
      </c>
    </row>
    <row s="1650" customFormat="1" customHeight="1" ht="11.549999999999999">
      <c r="A129" s="996"/>
      <c r="B129" s="1645"/>
      <c r="C129" s="1645"/>
      <c r="D129" s="360"/>
      <c r="J129" s="1650"/>
      <c r="K129" s="1650"/>
      <c r="L129" s="1650"/>
      <c r="M129" s="1650"/>
      <c r="N129" s="1650"/>
      <c r="O129" s="1650"/>
      <c r="P129" s="1650"/>
      <c r="Q129" s="1650"/>
      <c r="R129" s="1650"/>
      <c r="S129" s="1650"/>
      <c r="T129" s="1650"/>
      <c r="U129" s="1650"/>
      <c r="V129" s="1650"/>
      <c r="W129" s="1650"/>
      <c r="X129" s="1650"/>
      <c r="Y129" s="1650"/>
      <c r="Z129" s="1650"/>
      <c r="AA129" s="1650"/>
      <c r="AB129" s="1650"/>
      <c r="AC129" s="1650"/>
      <c r="AD129" s="1650"/>
      <c r="AE129" s="1650"/>
      <c r="AF129" s="1650"/>
      <c r="AG129" s="1650"/>
      <c r="AH129" s="1650"/>
      <c r="AI129" s="1650"/>
      <c r="AJ129" s="1650"/>
      <c r="AK129" s="1650"/>
      <c r="AL129" s="1650"/>
      <c r="AM129" s="1650"/>
      <c r="AO129" s="1169"/>
      <c r="AP129" s="1645"/>
      <c r="AQ129" s="1645"/>
      <c r="AR129" s="1169"/>
      <c r="AS129" s="1169"/>
      <c r="AT129" s="1169"/>
      <c r="AU129" s="1169"/>
      <c r="AV129" s="1645"/>
      <c r="AW129" s="1169"/>
      <c r="AX129" s="1169"/>
      <c r="AY129" s="553"/>
      <c r="AZ129" s="1169"/>
      <c r="BA129" s="1169"/>
      <c r="BB129" s="1169"/>
      <c r="BC129" s="1169"/>
      <c r="BD129" s="1169"/>
      <c r="BE129" s="1641"/>
      <c r="BF129" s="575"/>
      <c r="BG129" s="575"/>
      <c r="BH129" s="575"/>
      <c r="BI129" s="575"/>
      <c r="BJ129" s="1650">
        <v>11</v>
      </c>
    </row>
    <row s="1650" customFormat="1" customHeight="1" ht="11.549999999999999">
      <c r="A130" s="996"/>
      <c r="B130" s="1645"/>
      <c r="C130" s="1645"/>
      <c r="D130" s="360"/>
      <c r="J130" s="1650"/>
      <c r="K130" s="1650"/>
      <c r="L130" s="1650"/>
      <c r="M130" s="1650"/>
      <c r="N130" s="1650"/>
      <c r="O130" s="1650"/>
      <c r="P130" s="1650"/>
      <c r="Q130" s="1650"/>
      <c r="R130" s="1650"/>
      <c r="S130" s="1650"/>
      <c r="T130" s="1650"/>
      <c r="U130" s="1650"/>
      <c r="V130" s="1650"/>
      <c r="W130" s="1650"/>
      <c r="X130" s="1650"/>
      <c r="Y130" s="1650"/>
      <c r="Z130" s="1650"/>
      <c r="AA130" s="1650"/>
      <c r="AB130" s="1650"/>
      <c r="AC130" s="1650"/>
      <c r="AD130" s="1650"/>
      <c r="AE130" s="1650"/>
      <c r="AF130" s="1650"/>
      <c r="AG130" s="1650"/>
      <c r="AH130" s="1650"/>
      <c r="AI130" s="1650"/>
      <c r="AJ130" s="1650"/>
      <c r="AK130" s="1650"/>
      <c r="AL130" s="1650"/>
      <c r="AM130" s="1650"/>
      <c r="AO130" s="1169"/>
      <c r="AP130" s="1645"/>
      <c r="AQ130" s="1645"/>
      <c r="AR130" s="1169"/>
      <c r="AS130" s="1169"/>
      <c r="AT130" s="1169"/>
      <c r="AU130" s="1169"/>
      <c r="AV130" s="1645"/>
      <c r="AW130" s="1169"/>
      <c r="AX130" s="1169"/>
      <c r="AY130" s="553"/>
      <c r="AZ130" s="1169"/>
      <c r="BA130" s="1169"/>
      <c r="BB130" s="1169"/>
      <c r="BC130" s="1169"/>
      <c r="BD130" s="1169"/>
      <c r="BE130" s="1641"/>
      <c r="BF130" s="575"/>
      <c r="BG130" s="575"/>
      <c r="BH130" s="575"/>
      <c r="BI130" s="575"/>
      <c r="BJ130" s="1650">
        <v>11</v>
      </c>
    </row>
    <row s="1650" customFormat="1" customHeight="1" ht="11.549999999999999">
      <c r="A131" s="996"/>
      <c r="B131" s="1645"/>
      <c r="C131" s="1645"/>
      <c r="D131" s="360"/>
      <c r="J131" s="1650"/>
      <c r="K131" s="1650"/>
      <c r="L131" s="1650"/>
      <c r="M131" s="1650"/>
      <c r="N131" s="1650"/>
      <c r="O131" s="1650"/>
      <c r="P131" s="1650"/>
      <c r="Q131" s="1650"/>
      <c r="R131" s="1650"/>
      <c r="S131" s="1650"/>
      <c r="T131" s="1650"/>
      <c r="U131" s="1650"/>
      <c r="V131" s="1650"/>
      <c r="W131" s="1650"/>
      <c r="X131" s="1650"/>
      <c r="Y131" s="1650"/>
      <c r="Z131" s="1650"/>
      <c r="AA131" s="1650"/>
      <c r="AB131" s="1650"/>
      <c r="AC131" s="1650"/>
      <c r="AD131" s="1650"/>
      <c r="AE131" s="1650"/>
      <c r="AF131" s="1650"/>
      <c r="AG131" s="1650"/>
      <c r="AH131" s="1650"/>
      <c r="AI131" s="1650"/>
      <c r="AJ131" s="1650"/>
      <c r="AK131" s="1650"/>
      <c r="AL131" s="1650"/>
      <c r="AM131" s="1650"/>
      <c r="AO131" s="1169"/>
      <c r="AP131" s="1645"/>
      <c r="AQ131" s="1645"/>
      <c r="AR131" s="1169"/>
      <c r="AS131" s="1169"/>
      <c r="AT131" s="1169"/>
      <c r="AU131" s="1169"/>
      <c r="AV131" s="1645"/>
      <c r="AW131" s="1169"/>
      <c r="AX131" s="1169"/>
      <c r="AY131" s="553"/>
      <c r="AZ131" s="1169"/>
      <c r="BA131" s="1169"/>
      <c r="BB131" s="1169"/>
      <c r="BC131" s="1169"/>
      <c r="BD131" s="1169"/>
      <c r="BE131" s="1641"/>
      <c r="BF131" s="575"/>
      <c r="BG131" s="575"/>
      <c r="BH131" s="575"/>
      <c r="BI131" s="575"/>
      <c r="BJ131" s="1650">
        <v>11</v>
      </c>
    </row>
    <row s="1650" customFormat="1" customHeight="1" ht="11.549999999999999">
      <c r="A132" s="996"/>
      <c r="B132" s="1645"/>
      <c r="C132" s="1645"/>
      <c r="D132" s="360"/>
      <c r="J132" s="1650"/>
      <c r="K132" s="1650"/>
      <c r="L132" s="1650"/>
      <c r="M132" s="1650"/>
      <c r="N132" s="1650"/>
      <c r="O132" s="1650"/>
      <c r="P132" s="1650"/>
      <c r="Q132" s="1650"/>
      <c r="R132" s="1650"/>
      <c r="S132" s="1650"/>
      <c r="T132" s="1650"/>
      <c r="U132" s="1650"/>
      <c r="V132" s="1650"/>
      <c r="W132" s="1650"/>
      <c r="X132" s="1650"/>
      <c r="Y132" s="1650"/>
      <c r="Z132" s="1650"/>
      <c r="AA132" s="1650"/>
      <c r="AB132" s="1650"/>
      <c r="AC132" s="1650"/>
      <c r="AD132" s="1650"/>
      <c r="AE132" s="1650"/>
      <c r="AF132" s="1650"/>
      <c r="AG132" s="1650"/>
      <c r="AH132" s="1650"/>
      <c r="AI132" s="1650"/>
      <c r="AJ132" s="1650"/>
      <c r="AK132" s="1650"/>
      <c r="AL132" s="1650"/>
      <c r="AM132" s="1650"/>
      <c r="AO132" s="1169"/>
      <c r="AP132" s="1645"/>
      <c r="AQ132" s="1645"/>
      <c r="AR132" s="1169"/>
      <c r="AS132" s="1169"/>
      <c r="AT132" s="1169"/>
      <c r="AU132" s="1169"/>
      <c r="AV132" s="1645"/>
      <c r="AW132" s="1169"/>
      <c r="AX132" s="1169"/>
      <c r="AY132" s="553"/>
      <c r="AZ132" s="1169"/>
      <c r="BA132" s="1169"/>
      <c r="BB132" s="1169"/>
      <c r="BC132" s="1169"/>
      <c r="BD132" s="1169"/>
      <c r="BE132" s="1641"/>
      <c r="BF132" s="575"/>
      <c r="BG132" s="575"/>
      <c r="BH132" s="575"/>
      <c r="BI132" s="575"/>
      <c r="BJ132" s="1650">
        <v>11</v>
      </c>
    </row>
    <row s="1650" customFormat="1" customHeight="1" ht="11.549999999999999">
      <c r="A133" s="996"/>
      <c r="B133" s="1645"/>
      <c r="C133" s="1645"/>
      <c r="D133" s="360"/>
      <c r="J133" s="1650"/>
      <c r="K133" s="1650"/>
      <c r="L133" s="1650"/>
      <c r="M133" s="1650"/>
      <c r="N133" s="1650"/>
      <c r="O133" s="1650"/>
      <c r="P133" s="1650"/>
      <c r="Q133" s="1650"/>
      <c r="R133" s="1650"/>
      <c r="S133" s="1650"/>
      <c r="T133" s="1650"/>
      <c r="U133" s="1650"/>
      <c r="V133" s="1650"/>
      <c r="W133" s="1650"/>
      <c r="X133" s="1650"/>
      <c r="Y133" s="1650"/>
      <c r="Z133" s="1650"/>
      <c r="AA133" s="1650"/>
      <c r="AB133" s="1650"/>
      <c r="AC133" s="1650"/>
      <c r="AD133" s="1650"/>
      <c r="AE133" s="1650"/>
      <c r="AF133" s="1650"/>
      <c r="AG133" s="1650"/>
      <c r="AH133" s="1650"/>
      <c r="AI133" s="1650"/>
      <c r="AJ133" s="1650"/>
      <c r="AK133" s="1650"/>
      <c r="AL133" s="1650"/>
      <c r="AM133" s="1650"/>
      <c r="AO133" s="1169"/>
      <c r="AP133" s="1645"/>
      <c r="AQ133" s="1645"/>
      <c r="AR133" s="1169"/>
      <c r="AS133" s="1169"/>
      <c r="AT133" s="1169"/>
      <c r="AU133" s="1169"/>
      <c r="AV133" s="1645"/>
      <c r="AW133" s="1169"/>
      <c r="AX133" s="1169"/>
      <c r="AY133" s="553"/>
      <c r="AZ133" s="1169"/>
      <c r="BA133" s="1169"/>
      <c r="BB133" s="1169"/>
      <c r="BC133" s="1169"/>
      <c r="BD133" s="1169"/>
      <c r="BE133" s="1641"/>
      <c r="BF133" s="575"/>
      <c r="BG133" s="575"/>
      <c r="BH133" s="575"/>
      <c r="BI133" s="575"/>
      <c r="BJ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X134" s="1650"/>
      <c r="Y134" s="1650"/>
      <c r="Z134" s="1650"/>
      <c r="AA134" s="1650"/>
      <c r="AB134" s="1650"/>
      <c r="AC134" s="1650"/>
      <c r="AD134" s="1650"/>
      <c r="AE134" s="1650"/>
      <c r="AF134" s="1650"/>
      <c r="AG134" s="1650"/>
      <c r="AH134" s="1650"/>
      <c r="AI134" s="1650"/>
      <c r="AJ134" s="1650"/>
      <c r="AK134" s="1650"/>
      <c r="AL134" s="1650"/>
      <c r="AM134" s="1650"/>
      <c r="AO134" s="1169"/>
      <c r="AP134" s="1645"/>
      <c r="AQ134" s="1645"/>
      <c r="AR134" s="1169"/>
      <c r="AS134" s="1169"/>
      <c r="AT134" s="1169"/>
      <c r="AU134" s="1169"/>
      <c r="AV134" s="1645"/>
      <c r="AW134" s="1169"/>
      <c r="AX134" s="1169"/>
      <c r="AY134" s="553"/>
      <c r="AZ134" s="1169"/>
      <c r="BA134" s="1169"/>
      <c r="BB134" s="1169"/>
      <c r="BC134" s="1169"/>
      <c r="BD134" s="1169"/>
      <c r="BE134" s="1641"/>
      <c r="BF134" s="575"/>
      <c r="BG134" s="575"/>
      <c r="BH134" s="575"/>
      <c r="BI134" s="575"/>
      <c r="BJ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X135" s="1650"/>
      <c r="Y135" s="1650"/>
      <c r="Z135" s="1650"/>
      <c r="AA135" s="1650"/>
      <c r="AB135" s="1650"/>
      <c r="AC135" s="1650"/>
      <c r="AD135" s="1650"/>
      <c r="AE135" s="1650"/>
      <c r="AF135" s="1650"/>
      <c r="AG135" s="1650"/>
      <c r="AH135" s="1650"/>
      <c r="AI135" s="1650"/>
      <c r="AJ135" s="1650"/>
      <c r="AK135" s="1650"/>
      <c r="AL135" s="1650"/>
      <c r="AM135" s="1650"/>
      <c r="AO135" s="1169"/>
      <c r="AP135" s="1645"/>
      <c r="AQ135" s="1645"/>
      <c r="AR135" s="1169"/>
      <c r="AS135" s="1169"/>
      <c r="AT135" s="1169"/>
      <c r="AU135" s="1169"/>
      <c r="AV135" s="1645"/>
      <c r="AW135" s="1169"/>
      <c r="AX135" s="1169"/>
      <c r="AY135" s="553"/>
      <c r="AZ135" s="1169"/>
      <c r="BA135" s="1169"/>
      <c r="BB135" s="1169"/>
      <c r="BC135" s="1169"/>
      <c r="BD135" s="1169"/>
      <c r="BE135" s="1641"/>
      <c r="BF135" s="575"/>
      <c r="BG135" s="575"/>
      <c r="BH135" s="575"/>
      <c r="BI135" s="575"/>
      <c r="BJ135" s="1650">
        <v>11</v>
      </c>
    </row>
    <row s="1650" customFormat="1" customHeight="1" ht="11.549999999999999">
      <c r="A136" s="996"/>
      <c r="B136" s="1645"/>
      <c r="C136" s="1645"/>
      <c r="D136" s="360"/>
      <c r="J136" s="1650"/>
      <c r="K136" s="1650"/>
      <c r="L136" s="1650"/>
      <c r="M136" s="1650"/>
      <c r="N136" s="1650"/>
      <c r="O136" s="1650"/>
      <c r="P136" s="1650"/>
      <c r="Q136" s="1650"/>
      <c r="R136" s="1650"/>
      <c r="S136" s="1650"/>
      <c r="T136" s="1650"/>
      <c r="U136" s="1650"/>
      <c r="V136" s="1650"/>
      <c r="W136" s="1650"/>
      <c r="X136" s="1650"/>
      <c r="Y136" s="1650"/>
      <c r="Z136" s="1650"/>
      <c r="AA136" s="1650"/>
      <c r="AB136" s="1650"/>
      <c r="AC136" s="1650"/>
      <c r="AD136" s="1650"/>
      <c r="AE136" s="1650"/>
      <c r="AF136" s="1650"/>
      <c r="AG136" s="1650"/>
      <c r="AH136" s="1650"/>
      <c r="AI136" s="1650"/>
      <c r="AJ136" s="1650"/>
      <c r="AK136" s="1650"/>
      <c r="AL136" s="1650"/>
      <c r="AM136" s="1650"/>
      <c r="AO136" s="1169"/>
      <c r="AP136" s="1645"/>
      <c r="AQ136" s="1645"/>
      <c r="AR136" s="1169"/>
      <c r="AS136" s="1169"/>
      <c r="AT136" s="1169"/>
      <c r="AU136" s="1169"/>
      <c r="AV136" s="1645"/>
      <c r="AW136" s="1169"/>
      <c r="AX136" s="1169"/>
      <c r="AY136" s="553"/>
      <c r="AZ136" s="1169"/>
      <c r="BA136" s="1169"/>
      <c r="BB136" s="1169"/>
      <c r="BC136" s="1169"/>
      <c r="BD136" s="1169"/>
      <c r="BE136" s="1641"/>
      <c r="BF136" s="575"/>
      <c r="BG136" s="575"/>
      <c r="BH136" s="575"/>
      <c r="BI136" s="575"/>
      <c r="BJ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X137" s="1650"/>
      <c r="Y137" s="1650"/>
      <c r="Z137" s="1650"/>
      <c r="AA137" s="1650"/>
      <c r="AB137" s="1650"/>
      <c r="AC137" s="1650"/>
      <c r="AD137" s="1650"/>
      <c r="AE137" s="1650"/>
      <c r="AF137" s="1650"/>
      <c r="AG137" s="1650"/>
      <c r="AH137" s="1650"/>
      <c r="AI137" s="1650"/>
      <c r="AJ137" s="1650"/>
      <c r="AK137" s="1650"/>
      <c r="AL137" s="1650"/>
      <c r="AM137" s="1650"/>
      <c r="AO137" s="1169"/>
      <c r="AP137" s="1645"/>
      <c r="AQ137" s="1645"/>
      <c r="AR137" s="1169"/>
      <c r="AS137" s="1169"/>
      <c r="AT137" s="1169"/>
      <c r="AU137" s="1169"/>
      <c r="AV137" s="1645"/>
      <c r="AW137" s="1169"/>
      <c r="AX137" s="1169"/>
      <c r="AY137" s="553"/>
      <c r="AZ137" s="1169"/>
      <c r="BA137" s="1169"/>
      <c r="BB137" s="1169"/>
      <c r="BC137" s="1169"/>
      <c r="BD137" s="1169"/>
      <c r="BE137" s="1641"/>
      <c r="BF137" s="575"/>
      <c r="BG137" s="575"/>
      <c r="BH137" s="575"/>
      <c r="BI137" s="575"/>
      <c r="BJ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X138" s="1650"/>
      <c r="Y138" s="1650"/>
      <c r="Z138" s="1650"/>
      <c r="AA138" s="1650"/>
      <c r="AB138" s="1650"/>
      <c r="AC138" s="1650"/>
      <c r="AD138" s="1650"/>
      <c r="AE138" s="1650"/>
      <c r="AF138" s="1650"/>
      <c r="AG138" s="1650"/>
      <c r="AH138" s="1650"/>
      <c r="AI138" s="1650"/>
      <c r="AJ138" s="1650"/>
      <c r="AK138" s="1650"/>
      <c r="AL138" s="1650"/>
      <c r="AM138" s="1650"/>
      <c r="AO138" s="1169"/>
      <c r="AP138" s="1645"/>
      <c r="AQ138" s="1645"/>
      <c r="AR138" s="1169"/>
      <c r="AS138" s="1169"/>
      <c r="AT138" s="1169"/>
      <c r="AU138" s="1169"/>
      <c r="AV138" s="1645"/>
      <c r="AW138" s="1169"/>
      <c r="AX138" s="1169"/>
      <c r="AY138" s="553"/>
      <c r="AZ138" s="1169"/>
      <c r="BA138" s="1169"/>
      <c r="BB138" s="1169"/>
      <c r="BC138" s="1169"/>
      <c r="BD138" s="1169"/>
      <c r="BE138" s="1641"/>
      <c r="BF138" s="575"/>
      <c r="BG138" s="575"/>
      <c r="BH138" s="575"/>
      <c r="BI138" s="575"/>
      <c r="BJ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X139" s="1650"/>
      <c r="Y139" s="1650"/>
      <c r="Z139" s="1650"/>
      <c r="AA139" s="1650"/>
      <c r="AB139" s="1650"/>
      <c r="AC139" s="1650"/>
      <c r="AD139" s="1650"/>
      <c r="AE139" s="1650"/>
      <c r="AF139" s="1650"/>
      <c r="AG139" s="1650"/>
      <c r="AH139" s="1650"/>
      <c r="AI139" s="1650"/>
      <c r="AJ139" s="1650"/>
      <c r="AK139" s="1650"/>
      <c r="AL139" s="1650"/>
      <c r="AM139" s="1650"/>
      <c r="AO139" s="1169"/>
      <c r="AP139" s="1645"/>
      <c r="AQ139" s="1645"/>
      <c r="AR139" s="1169"/>
      <c r="AS139" s="1169"/>
      <c r="AT139" s="1169"/>
      <c r="AU139" s="1169"/>
      <c r="AV139" s="1645"/>
      <c r="AW139" s="1169"/>
      <c r="AX139" s="1169"/>
      <c r="AY139" s="553"/>
      <c r="AZ139" s="1169"/>
      <c r="BA139" s="1169"/>
      <c r="BB139" s="1169"/>
      <c r="BC139" s="1169"/>
      <c r="BD139" s="1169"/>
      <c r="BE139" s="1641"/>
      <c r="BF139" s="575"/>
      <c r="BG139" s="575"/>
      <c r="BH139" s="575"/>
      <c r="BI139" s="575"/>
      <c r="BJ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X140" s="1650"/>
      <c r="Y140" s="1650"/>
      <c r="Z140" s="1650"/>
      <c r="AA140" s="1650"/>
      <c r="AB140" s="1650"/>
      <c r="AC140" s="1650"/>
      <c r="AD140" s="1650"/>
      <c r="AE140" s="1650"/>
      <c r="AF140" s="1650"/>
      <c r="AG140" s="1650"/>
      <c r="AH140" s="1650"/>
      <c r="AI140" s="1650"/>
      <c r="AJ140" s="1650"/>
      <c r="AK140" s="1650"/>
      <c r="AL140" s="1650"/>
      <c r="AM140" s="1650"/>
      <c r="AO140" s="1169"/>
      <c r="AP140" s="1645"/>
      <c r="AQ140" s="1645"/>
      <c r="AR140" s="1169"/>
      <c r="AS140" s="1169"/>
      <c r="AT140" s="1169"/>
      <c r="AU140" s="1169"/>
      <c r="AV140" s="1645"/>
      <c r="AW140" s="1169"/>
      <c r="AX140" s="1169"/>
      <c r="AY140" s="553"/>
      <c r="AZ140" s="1169"/>
      <c r="BA140" s="1169"/>
      <c r="BB140" s="1169"/>
      <c r="BC140" s="1169"/>
      <c r="BD140" s="1169"/>
      <c r="BE140" s="1641"/>
      <c r="BF140" s="575"/>
      <c r="BG140" s="575"/>
      <c r="BH140" s="575"/>
      <c r="BI140" s="575"/>
      <c r="BJ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X141" s="1650"/>
      <c r="Y141" s="1650"/>
      <c r="Z141" s="1650"/>
      <c r="AA141" s="1650"/>
      <c r="AB141" s="1650"/>
      <c r="AC141" s="1650"/>
      <c r="AD141" s="1650"/>
      <c r="AE141" s="1650"/>
      <c r="AF141" s="1650"/>
      <c r="AG141" s="1650"/>
      <c r="AH141" s="1650"/>
      <c r="AI141" s="1650"/>
      <c r="AJ141" s="1650"/>
      <c r="AK141" s="1650"/>
      <c r="AL141" s="1650"/>
      <c r="AM141" s="1650"/>
      <c r="AO141" s="1169"/>
      <c r="AP141" s="1645"/>
      <c r="AQ141" s="1645"/>
      <c r="AR141" s="1169"/>
      <c r="AS141" s="1169"/>
      <c r="AT141" s="1169"/>
      <c r="AU141" s="1169"/>
      <c r="AV141" s="1645"/>
      <c r="AW141" s="1169"/>
      <c r="AX141" s="1169"/>
      <c r="AY141" s="553"/>
      <c r="AZ141" s="1169"/>
      <c r="BA141" s="1169"/>
      <c r="BB141" s="1169"/>
      <c r="BC141" s="1169"/>
      <c r="BD141" s="1169"/>
      <c r="BE141" s="1641"/>
      <c r="BF141" s="575"/>
      <c r="BG141" s="575"/>
      <c r="BH141" s="575"/>
      <c r="BI141" s="575"/>
      <c r="BJ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X142" s="1650"/>
      <c r="Y142" s="1650"/>
      <c r="Z142" s="1650"/>
      <c r="AA142" s="1650"/>
      <c r="AB142" s="1650"/>
      <c r="AC142" s="1650"/>
      <c r="AD142" s="1650"/>
      <c r="AE142" s="1650"/>
      <c r="AF142" s="1650"/>
      <c r="AG142" s="1650"/>
      <c r="AH142" s="1650"/>
      <c r="AI142" s="1650"/>
      <c r="AJ142" s="1650"/>
      <c r="AK142" s="1650"/>
      <c r="AL142" s="1650"/>
      <c r="AM142" s="1650"/>
      <c r="AO142" s="1169"/>
      <c r="AP142" s="1645"/>
      <c r="AQ142" s="1645"/>
      <c r="AR142" s="1169"/>
      <c r="AS142" s="1169"/>
      <c r="AT142" s="1169"/>
      <c r="AU142" s="1169"/>
      <c r="AV142" s="1645"/>
      <c r="AW142" s="1169"/>
      <c r="AX142" s="1169"/>
      <c r="AY142" s="553"/>
      <c r="AZ142" s="1169"/>
      <c r="BA142" s="1169"/>
      <c r="BB142" s="1169"/>
      <c r="BC142" s="1169"/>
      <c r="BD142" s="1169"/>
      <c r="BE142" s="1641"/>
      <c r="BF142" s="575"/>
      <c r="BG142" s="575"/>
      <c r="BH142" s="575"/>
      <c r="BI142" s="575"/>
      <c r="BJ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X143" s="1650"/>
      <c r="Y143" s="1650"/>
      <c r="Z143" s="1650"/>
      <c r="AA143" s="1650"/>
      <c r="AB143" s="1650"/>
      <c r="AC143" s="1650"/>
      <c r="AD143" s="1650"/>
      <c r="AE143" s="1650"/>
      <c r="AF143" s="1650"/>
      <c r="AG143" s="1650"/>
      <c r="AH143" s="1650"/>
      <c r="AI143" s="1650"/>
      <c r="AJ143" s="1650"/>
      <c r="AK143" s="1650"/>
      <c r="AL143" s="1650"/>
      <c r="AM143" s="1650"/>
      <c r="AO143" s="1169"/>
      <c r="AP143" s="1645"/>
      <c r="AQ143" s="1645"/>
      <c r="AR143" s="1169"/>
      <c r="AS143" s="1169"/>
      <c r="AT143" s="1169"/>
      <c r="AU143" s="1169"/>
      <c r="AV143" s="1645"/>
      <c r="AW143" s="1169"/>
      <c r="AX143" s="1169"/>
      <c r="AY143" s="553"/>
      <c r="AZ143" s="1169"/>
      <c r="BA143" s="1169"/>
      <c r="BB143" s="1169"/>
      <c r="BC143" s="1169"/>
      <c r="BD143" s="1169"/>
      <c r="BE143" s="1641"/>
      <c r="BF143" s="575"/>
      <c r="BG143" s="575"/>
      <c r="BH143" s="575"/>
      <c r="BI143" s="575"/>
      <c r="BJ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X144" s="1650"/>
      <c r="Y144" s="1650"/>
      <c r="Z144" s="1650"/>
      <c r="AA144" s="1650"/>
      <c r="AB144" s="1650"/>
      <c r="AC144" s="1650"/>
      <c r="AD144" s="1650"/>
      <c r="AE144" s="1650"/>
      <c r="AF144" s="1650"/>
      <c r="AG144" s="1650"/>
      <c r="AH144" s="1650"/>
      <c r="AI144" s="1650"/>
      <c r="AJ144" s="1650"/>
      <c r="AK144" s="1650"/>
      <c r="AL144" s="1650"/>
      <c r="AM144" s="1650"/>
      <c r="AO144" s="1169"/>
      <c r="AP144" s="1645"/>
      <c r="AQ144" s="1645"/>
      <c r="AR144" s="1169"/>
      <c r="AS144" s="1169"/>
      <c r="AT144" s="1169"/>
      <c r="AU144" s="1169"/>
      <c r="AV144" s="1645"/>
      <c r="AW144" s="1169"/>
      <c r="AX144" s="1169"/>
      <c r="AY144" s="553"/>
      <c r="AZ144" s="1169"/>
      <c r="BA144" s="1169"/>
      <c r="BB144" s="1169"/>
      <c r="BC144" s="1169"/>
      <c r="BD144" s="1169"/>
      <c r="BE144" s="1641"/>
      <c r="BF144" s="575"/>
      <c r="BG144" s="575"/>
      <c r="BH144" s="575"/>
      <c r="BI144" s="575"/>
      <c r="BJ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X145" s="1650"/>
      <c r="Y145" s="1650"/>
      <c r="Z145" s="1650"/>
      <c r="AA145" s="1650"/>
      <c r="AB145" s="1650"/>
      <c r="AC145" s="1650"/>
      <c r="AD145" s="1650"/>
      <c r="AE145" s="1650"/>
      <c r="AF145" s="1650"/>
      <c r="AG145" s="1650"/>
      <c r="AH145" s="1650"/>
      <c r="AI145" s="1650"/>
      <c r="AJ145" s="1650"/>
      <c r="AK145" s="1650"/>
      <c r="AL145" s="1650"/>
      <c r="AM145" s="1650"/>
      <c r="AO145" s="1169"/>
      <c r="AP145" s="1645"/>
      <c r="AQ145" s="1645"/>
      <c r="AR145" s="1169"/>
      <c r="AS145" s="1169"/>
      <c r="AT145" s="1169"/>
      <c r="AU145" s="1169"/>
      <c r="AV145" s="1645"/>
      <c r="AW145" s="1169"/>
      <c r="AX145" s="1169"/>
      <c r="AY145" s="553"/>
      <c r="AZ145" s="1169"/>
      <c r="BA145" s="1169"/>
      <c r="BB145" s="1169"/>
      <c r="BC145" s="1169"/>
      <c r="BD145" s="1169"/>
      <c r="BE145" s="1641"/>
      <c r="BF145" s="575"/>
      <c r="BG145" s="575"/>
      <c r="BH145" s="575"/>
      <c r="BI145" s="575"/>
      <c r="BJ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X146" s="1650"/>
      <c r="Y146" s="1650"/>
      <c r="Z146" s="1650"/>
      <c r="AA146" s="1650"/>
      <c r="AB146" s="1650"/>
      <c r="AC146" s="1650"/>
      <c r="AD146" s="1650"/>
      <c r="AE146" s="1650"/>
      <c r="AF146" s="1650"/>
      <c r="AG146" s="1650"/>
      <c r="AH146" s="1650"/>
      <c r="AI146" s="1650"/>
      <c r="AJ146" s="1650"/>
      <c r="AK146" s="1650"/>
      <c r="AL146" s="1650"/>
      <c r="AM146" s="1650"/>
      <c r="AO146" s="1169"/>
      <c r="AP146" s="1645"/>
      <c r="AQ146" s="1645"/>
      <c r="AR146" s="1169"/>
      <c r="AS146" s="1169"/>
      <c r="AT146" s="1169"/>
      <c r="AU146" s="1169"/>
      <c r="AV146" s="1645"/>
      <c r="AW146" s="1169"/>
      <c r="AX146" s="1169"/>
      <c r="AY146" s="553"/>
      <c r="AZ146" s="1169"/>
      <c r="BA146" s="1169"/>
      <c r="BB146" s="1169"/>
      <c r="BC146" s="1169"/>
      <c r="BD146" s="1169"/>
      <c r="BE146" s="1641"/>
      <c r="BF146" s="575"/>
      <c r="BG146" s="575"/>
      <c r="BH146" s="575"/>
      <c r="BI146" s="575"/>
      <c r="BJ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X147" s="1650"/>
      <c r="Y147" s="1650"/>
      <c r="Z147" s="1650"/>
      <c r="AA147" s="1650"/>
      <c r="AB147" s="1650"/>
      <c r="AC147" s="1650"/>
      <c r="AD147" s="1650"/>
      <c r="AE147" s="1650"/>
      <c r="AF147" s="1650"/>
      <c r="AG147" s="1650"/>
      <c r="AH147" s="1650"/>
      <c r="AI147" s="1650"/>
      <c r="AJ147" s="1650"/>
      <c r="AK147" s="1650"/>
      <c r="AL147" s="1650"/>
      <c r="AM147" s="1650"/>
      <c r="AO147" s="1169"/>
      <c r="AP147" s="1645"/>
      <c r="AQ147" s="1645"/>
      <c r="AR147" s="1169"/>
      <c r="AS147" s="1169"/>
      <c r="AT147" s="1169"/>
      <c r="AU147" s="1169"/>
      <c r="AV147" s="1645"/>
      <c r="AW147" s="1169"/>
      <c r="AX147" s="1169"/>
      <c r="AY147" s="553"/>
      <c r="AZ147" s="1169"/>
      <c r="BA147" s="1169"/>
      <c r="BB147" s="1169"/>
      <c r="BC147" s="1169"/>
      <c r="BD147" s="1169"/>
      <c r="BE147" s="1641"/>
      <c r="BF147" s="575"/>
      <c r="BG147" s="575"/>
      <c r="BH147" s="575"/>
      <c r="BI147" s="575"/>
      <c r="BJ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X148" s="1650"/>
      <c r="Y148" s="1650"/>
      <c r="Z148" s="1650"/>
      <c r="AA148" s="1650"/>
      <c r="AB148" s="1650"/>
      <c r="AC148" s="1650"/>
      <c r="AD148" s="1650"/>
      <c r="AE148" s="1650"/>
      <c r="AF148" s="1650"/>
      <c r="AG148" s="1650"/>
      <c r="AH148" s="1650"/>
      <c r="AI148" s="1650"/>
      <c r="AJ148" s="1650"/>
      <c r="AK148" s="1650"/>
      <c r="AL148" s="1650"/>
      <c r="AM148" s="1650"/>
      <c r="AO148" s="1169"/>
      <c r="AP148" s="1645"/>
      <c r="AQ148" s="1645"/>
      <c r="AR148" s="1169"/>
      <c r="AS148" s="1169"/>
      <c r="AT148" s="1169"/>
      <c r="AU148" s="1169"/>
      <c r="AV148" s="1645"/>
      <c r="AW148" s="1169"/>
      <c r="AX148" s="1169"/>
      <c r="AY148" s="553"/>
      <c r="AZ148" s="1169"/>
      <c r="BA148" s="1169"/>
      <c r="BB148" s="1169"/>
      <c r="BC148" s="1169"/>
      <c r="BD148" s="1169"/>
      <c r="BE148" s="1641"/>
      <c r="BF148" s="575"/>
      <c r="BG148" s="575"/>
      <c r="BH148" s="575"/>
      <c r="BI148" s="575"/>
      <c r="BJ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X149" s="1650"/>
      <c r="Y149" s="1650"/>
      <c r="Z149" s="1650"/>
      <c r="AA149" s="1650"/>
      <c r="AB149" s="1650"/>
      <c r="AC149" s="1650"/>
      <c r="AD149" s="1650"/>
      <c r="AE149" s="1650"/>
      <c r="AF149" s="1650"/>
      <c r="AG149" s="1650"/>
      <c r="AH149" s="1650"/>
      <c r="AI149" s="1650"/>
      <c r="AJ149" s="1650"/>
      <c r="AK149" s="1650"/>
      <c r="AL149" s="1650"/>
      <c r="AM149" s="1650"/>
      <c r="AO149" s="1169"/>
      <c r="AP149" s="1645"/>
      <c r="AQ149" s="1645"/>
      <c r="AR149" s="1169"/>
      <c r="AS149" s="1169"/>
      <c r="AT149" s="1169"/>
      <c r="AU149" s="1169"/>
      <c r="AV149" s="1645"/>
      <c r="AW149" s="1169"/>
      <c r="AX149" s="1169"/>
      <c r="AY149" s="553"/>
      <c r="AZ149" s="1169"/>
      <c r="BA149" s="1169"/>
      <c r="BB149" s="1169"/>
      <c r="BC149" s="1169"/>
      <c r="BD149" s="1169"/>
      <c r="BE149" s="1641"/>
      <c r="BF149" s="575"/>
      <c r="BG149" s="575"/>
      <c r="BH149" s="575"/>
      <c r="BI149" s="575"/>
      <c r="BJ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X150" s="1650"/>
      <c r="Y150" s="1650"/>
      <c r="Z150" s="1650"/>
      <c r="AA150" s="1650"/>
      <c r="AB150" s="1650"/>
      <c r="AC150" s="1650"/>
      <c r="AD150" s="1650"/>
      <c r="AE150" s="1650"/>
      <c r="AF150" s="1650"/>
      <c r="AG150" s="1650"/>
      <c r="AH150" s="1650"/>
      <c r="AI150" s="1650"/>
      <c r="AJ150" s="1650"/>
      <c r="AK150" s="1650"/>
      <c r="AL150" s="1650"/>
      <c r="AM150" s="1650"/>
      <c r="AO150" s="1169"/>
      <c r="AP150" s="1645"/>
      <c r="AQ150" s="1645"/>
      <c r="AR150" s="1169"/>
      <c r="AS150" s="1169"/>
      <c r="AT150" s="1169"/>
      <c r="AU150" s="1169"/>
      <c r="AV150" s="1645"/>
      <c r="AW150" s="1169"/>
      <c r="AX150" s="1169"/>
      <c r="AY150" s="553"/>
      <c r="AZ150" s="1169"/>
      <c r="BA150" s="1169"/>
      <c r="BB150" s="1169"/>
      <c r="BC150" s="1169"/>
      <c r="BD150" s="1169"/>
      <c r="BE150" s="1641"/>
      <c r="BF150" s="575"/>
      <c r="BG150" s="575"/>
      <c r="BH150" s="575"/>
      <c r="BI150" s="575"/>
      <c r="BJ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X151" s="1650"/>
      <c r="Y151" s="1650"/>
      <c r="Z151" s="1650"/>
      <c r="AA151" s="1650"/>
      <c r="AB151" s="1650"/>
      <c r="AC151" s="1650"/>
      <c r="AD151" s="1650"/>
      <c r="AE151" s="1650"/>
      <c r="AF151" s="1650"/>
      <c r="AG151" s="1650"/>
      <c r="AH151" s="1650"/>
      <c r="AI151" s="1650"/>
      <c r="AJ151" s="1650"/>
      <c r="AK151" s="1650"/>
      <c r="AL151" s="1650"/>
      <c r="AM151" s="1650"/>
      <c r="AO151" s="1169"/>
      <c r="AP151" s="1645"/>
      <c r="AQ151" s="1645"/>
      <c r="AR151" s="1169"/>
      <c r="AS151" s="1169"/>
      <c r="AT151" s="1169"/>
      <c r="AU151" s="1169"/>
      <c r="AV151" s="1645"/>
      <c r="AW151" s="1169"/>
      <c r="AX151" s="1169"/>
      <c r="AY151" s="553"/>
      <c r="AZ151" s="1169"/>
      <c r="BA151" s="1169"/>
      <c r="BB151" s="1169"/>
      <c r="BC151" s="1169"/>
      <c r="BD151" s="1169"/>
      <c r="BE151" s="1641"/>
      <c r="BF151" s="575"/>
      <c r="BG151" s="575"/>
      <c r="BH151" s="575"/>
      <c r="BI151" s="575"/>
      <c r="BJ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X152" s="1650"/>
      <c r="Y152" s="1650"/>
      <c r="Z152" s="1650"/>
      <c r="AA152" s="1650"/>
      <c r="AB152" s="1650"/>
      <c r="AC152" s="1650"/>
      <c r="AD152" s="1650"/>
      <c r="AE152" s="1650"/>
      <c r="AF152" s="1650"/>
      <c r="AG152" s="1650"/>
      <c r="AH152" s="1650"/>
      <c r="AI152" s="1650"/>
      <c r="AJ152" s="1650"/>
      <c r="AK152" s="1650"/>
      <c r="AL152" s="1650"/>
      <c r="AM152" s="1650"/>
      <c r="AO152" s="1169"/>
      <c r="AP152" s="1645"/>
      <c r="AQ152" s="1645"/>
      <c r="AR152" s="1169"/>
      <c r="AS152" s="1169"/>
      <c r="AT152" s="1169"/>
      <c r="AU152" s="1169"/>
      <c r="AV152" s="1645"/>
      <c r="AW152" s="1169"/>
      <c r="AX152" s="1169"/>
      <c r="AY152" s="553"/>
      <c r="AZ152" s="1169"/>
      <c r="BA152" s="1169"/>
      <c r="BB152" s="1169"/>
      <c r="BC152" s="1169"/>
      <c r="BD152" s="1169"/>
      <c r="BE152" s="1641"/>
      <c r="BF152" s="575"/>
      <c r="BG152" s="575"/>
      <c r="BH152" s="575"/>
      <c r="BI152" s="575"/>
      <c r="BJ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X153" s="1650"/>
      <c r="Y153" s="1650"/>
      <c r="Z153" s="1650"/>
      <c r="AA153" s="1650"/>
      <c r="AB153" s="1650"/>
      <c r="AC153" s="1650"/>
      <c r="AD153" s="1650"/>
      <c r="AE153" s="1650"/>
      <c r="AF153" s="1650"/>
      <c r="AG153" s="1650"/>
      <c r="AH153" s="1650"/>
      <c r="AI153" s="1650"/>
      <c r="AJ153" s="1650"/>
      <c r="AK153" s="1650"/>
      <c r="AL153" s="1650"/>
      <c r="AM153" s="1650"/>
      <c r="AO153" s="1169"/>
      <c r="AP153" s="1645"/>
      <c r="AQ153" s="1645"/>
      <c r="AR153" s="1169"/>
      <c r="AS153" s="1169"/>
      <c r="AT153" s="1169"/>
      <c r="AU153" s="1169"/>
      <c r="AV153" s="1645"/>
      <c r="AW153" s="1169"/>
      <c r="AX153" s="1169"/>
      <c r="AY153" s="553"/>
      <c r="AZ153" s="1169"/>
      <c r="BA153" s="1169"/>
      <c r="BB153" s="1169"/>
      <c r="BC153" s="1169"/>
      <c r="BD153" s="1169"/>
      <c r="BE153" s="1641"/>
      <c r="BF153" s="575"/>
      <c r="BG153" s="575"/>
      <c r="BH153" s="575"/>
      <c r="BI153" s="575"/>
      <c r="BJ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X154" s="1650"/>
      <c r="Y154" s="1650"/>
      <c r="Z154" s="1650"/>
      <c r="AA154" s="1650"/>
      <c r="AB154" s="1650"/>
      <c r="AC154" s="1650"/>
      <c r="AD154" s="1650"/>
      <c r="AE154" s="1650"/>
      <c r="AF154" s="1650"/>
      <c r="AG154" s="1650"/>
      <c r="AH154" s="1650"/>
      <c r="AI154" s="1650"/>
      <c r="AJ154" s="1650"/>
      <c r="AK154" s="1650"/>
      <c r="AL154" s="1650"/>
      <c r="AM154" s="1650"/>
      <c r="AO154" s="1169"/>
      <c r="AP154" s="1645"/>
      <c r="AQ154" s="1645"/>
      <c r="AR154" s="1169"/>
      <c r="AS154" s="1169"/>
      <c r="AT154" s="1169"/>
      <c r="AU154" s="1169"/>
      <c r="AV154" s="1645"/>
      <c r="AW154" s="1169"/>
      <c r="AX154" s="1169"/>
      <c r="AY154" s="553"/>
      <c r="AZ154" s="1169"/>
      <c r="BA154" s="1169"/>
      <c r="BB154" s="1169"/>
      <c r="BC154" s="1169"/>
      <c r="BD154" s="1169"/>
      <c r="BE154" s="1641"/>
      <c r="BF154" s="575"/>
      <c r="BG154" s="575"/>
      <c r="BH154" s="575"/>
      <c r="BI154" s="575"/>
      <c r="BJ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X155" s="1650"/>
      <c r="Y155" s="1650"/>
      <c r="Z155" s="1650"/>
      <c r="AA155" s="1650"/>
      <c r="AB155" s="1650"/>
      <c r="AC155" s="1650"/>
      <c r="AD155" s="1650"/>
      <c r="AE155" s="1650"/>
      <c r="AF155" s="1650"/>
      <c r="AG155" s="1650"/>
      <c r="AH155" s="1650"/>
      <c r="AI155" s="1650"/>
      <c r="AJ155" s="1650"/>
      <c r="AK155" s="1650"/>
      <c r="AL155" s="1650"/>
      <c r="AM155" s="1650"/>
      <c r="AO155" s="1169"/>
      <c r="AP155" s="1645"/>
      <c r="AQ155" s="1645"/>
      <c r="AR155" s="1169"/>
      <c r="AS155" s="1169"/>
      <c r="AT155" s="1169"/>
      <c r="AU155" s="1169"/>
      <c r="AV155" s="1645"/>
      <c r="AW155" s="1169"/>
      <c r="AX155" s="1169"/>
      <c r="AY155" s="553"/>
      <c r="AZ155" s="1169"/>
      <c r="BA155" s="1169"/>
      <c r="BB155" s="1169"/>
      <c r="BC155" s="1169"/>
      <c r="BD155" s="1169"/>
      <c r="BE155" s="1641"/>
      <c r="BF155" s="575"/>
      <c r="BG155" s="575"/>
      <c r="BH155" s="575"/>
      <c r="BI155" s="575"/>
      <c r="BJ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D156" s="1650"/>
      <c r="AE156" s="1650"/>
      <c r="AF156" s="1650"/>
      <c r="AG156" s="1650"/>
      <c r="AH156" s="1650"/>
      <c r="AI156" s="1650"/>
      <c r="AJ156" s="1650"/>
      <c r="AK156" s="1650"/>
      <c r="AL156" s="1650"/>
      <c r="AM156" s="1650"/>
      <c r="AO156" s="1169"/>
      <c r="AP156" s="1645"/>
      <c r="AQ156" s="1645"/>
      <c r="AR156" s="1169"/>
      <c r="AS156" s="1169"/>
      <c r="AT156" s="1169"/>
      <c r="AU156" s="1169"/>
      <c r="AV156" s="1645"/>
      <c r="AW156" s="1169"/>
      <c r="AX156" s="1169"/>
      <c r="AY156" s="553"/>
      <c r="AZ156" s="1169"/>
      <c r="BA156" s="1169"/>
      <c r="BB156" s="1169"/>
      <c r="BC156" s="1169"/>
      <c r="BD156" s="1169"/>
      <c r="BE156" s="1641"/>
      <c r="BF156" s="575"/>
      <c r="BG156" s="575"/>
      <c r="BH156" s="575"/>
      <c r="BI156" s="575"/>
      <c r="BJ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D157" s="1650"/>
      <c r="AE157" s="1650"/>
      <c r="AF157" s="1650"/>
      <c r="AG157" s="1650"/>
      <c r="AH157" s="1650"/>
      <c r="AI157" s="1650"/>
      <c r="AJ157" s="1650"/>
      <c r="AK157" s="1650"/>
      <c r="AL157" s="1650"/>
      <c r="AM157" s="1650"/>
      <c r="AO157" s="1169"/>
      <c r="AP157" s="1645"/>
      <c r="AQ157" s="1645"/>
      <c r="AR157" s="1169"/>
      <c r="AS157" s="1169"/>
      <c r="AT157" s="1169"/>
      <c r="AU157" s="1169"/>
      <c r="AV157" s="1645"/>
      <c r="AW157" s="1169"/>
      <c r="AX157" s="1169"/>
      <c r="AY157" s="553"/>
      <c r="AZ157" s="1169"/>
      <c r="BA157" s="1169"/>
      <c r="BB157" s="1169"/>
      <c r="BC157" s="1169"/>
      <c r="BD157" s="1169"/>
      <c r="BE157" s="1641"/>
      <c r="BF157" s="575"/>
      <c r="BG157" s="575"/>
      <c r="BH157" s="575"/>
      <c r="BI157" s="575"/>
      <c r="BJ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D158" s="1650"/>
      <c r="AE158" s="1650"/>
      <c r="AF158" s="1650"/>
      <c r="AG158" s="1650"/>
      <c r="AH158" s="1650"/>
      <c r="AI158" s="1650"/>
      <c r="AJ158" s="1650"/>
      <c r="AK158" s="1650"/>
      <c r="AL158" s="1650"/>
      <c r="AM158" s="1650"/>
      <c r="AO158" s="1169"/>
      <c r="AP158" s="1645"/>
      <c r="AQ158" s="1645"/>
      <c r="AR158" s="1169"/>
      <c r="AS158" s="1169"/>
      <c r="AT158" s="1169"/>
      <c r="AU158" s="1169"/>
      <c r="AV158" s="1645"/>
      <c r="AW158" s="1169"/>
      <c r="AX158" s="1169"/>
      <c r="AY158" s="553"/>
      <c r="AZ158" s="1169"/>
      <c r="BA158" s="1169"/>
      <c r="BB158" s="1169"/>
      <c r="BC158" s="1169"/>
      <c r="BD158" s="1169"/>
      <c r="BE158" s="1641"/>
      <c r="BF158" s="575"/>
      <c r="BG158" s="575"/>
      <c r="BH158" s="575"/>
      <c r="BI158" s="575"/>
      <c r="BJ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X159" s="1650"/>
      <c r="Y159" s="1650"/>
      <c r="Z159" s="1650"/>
      <c r="AA159" s="1650"/>
      <c r="AB159" s="1650"/>
      <c r="AC159" s="1650"/>
      <c r="AD159" s="1650"/>
      <c r="AE159" s="1650"/>
      <c r="AF159" s="1650"/>
      <c r="AG159" s="1650"/>
      <c r="AH159" s="1650"/>
      <c r="AI159" s="1650"/>
      <c r="AJ159" s="1650"/>
      <c r="AK159" s="1650"/>
      <c r="AL159" s="1650"/>
      <c r="AM159" s="1650"/>
      <c r="AO159" s="1169"/>
      <c r="AP159" s="1645"/>
      <c r="AQ159" s="1645"/>
      <c r="AR159" s="1169"/>
      <c r="AS159" s="1169"/>
      <c r="AT159" s="1169"/>
      <c r="AU159" s="1169"/>
      <c r="AV159" s="1645"/>
      <c r="AW159" s="1169"/>
      <c r="AX159" s="1169"/>
      <c r="AY159" s="553"/>
      <c r="AZ159" s="1169"/>
      <c r="BA159" s="1169"/>
      <c r="BB159" s="1169"/>
      <c r="BC159" s="1169"/>
      <c r="BD159" s="1169"/>
      <c r="BE159" s="1641"/>
      <c r="BF159" s="575"/>
      <c r="BG159" s="575"/>
      <c r="BH159" s="575"/>
      <c r="BI159" s="575"/>
      <c r="BJ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D160" s="1650"/>
      <c r="AE160" s="1650"/>
      <c r="AF160" s="1650"/>
      <c r="AG160" s="1650"/>
      <c r="AH160" s="1650"/>
      <c r="AI160" s="1650"/>
      <c r="AJ160" s="1650"/>
      <c r="AK160" s="1650"/>
      <c r="AL160" s="1650"/>
      <c r="AM160" s="1650"/>
      <c r="AO160" s="1169"/>
      <c r="AP160" s="1645"/>
      <c r="AQ160" s="1645"/>
      <c r="AR160" s="1169"/>
      <c r="AS160" s="1169"/>
      <c r="AT160" s="1169"/>
      <c r="AU160" s="1169"/>
      <c r="AV160" s="1645"/>
      <c r="AW160" s="1169"/>
      <c r="AX160" s="1169"/>
      <c r="AY160" s="553"/>
      <c r="AZ160" s="1169"/>
      <c r="BA160" s="1169"/>
      <c r="BB160" s="1169"/>
      <c r="BC160" s="1169"/>
      <c r="BD160" s="1169"/>
      <c r="BE160" s="1641"/>
      <c r="BF160" s="575"/>
      <c r="BG160" s="575"/>
      <c r="BH160" s="575"/>
      <c r="BI160" s="575"/>
      <c r="BJ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D161" s="1650"/>
      <c r="AE161" s="1650"/>
      <c r="AF161" s="1650"/>
      <c r="AG161" s="1650"/>
      <c r="AH161" s="1650"/>
      <c r="AI161" s="1650"/>
      <c r="AJ161" s="1650"/>
      <c r="AK161" s="1650"/>
      <c r="AL161" s="1650"/>
      <c r="AM161" s="1650"/>
      <c r="AO161" s="1169"/>
      <c r="AP161" s="1645"/>
      <c r="AQ161" s="1645"/>
      <c r="AR161" s="1169"/>
      <c r="AS161" s="1169"/>
      <c r="AT161" s="1169"/>
      <c r="AU161" s="1169"/>
      <c r="AV161" s="1645"/>
      <c r="AW161" s="1169"/>
      <c r="AX161" s="1169"/>
      <c r="AY161" s="553"/>
      <c r="AZ161" s="1169"/>
      <c r="BA161" s="1169"/>
      <c r="BB161" s="1169"/>
      <c r="BC161" s="1169"/>
      <c r="BD161" s="1169"/>
      <c r="BE161" s="1641"/>
      <c r="BF161" s="575"/>
      <c r="BG161" s="575"/>
      <c r="BH161" s="575"/>
      <c r="BI161" s="575"/>
      <c r="BJ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D162" s="1650"/>
      <c r="AE162" s="1650"/>
      <c r="AF162" s="1650"/>
      <c r="AG162" s="1650"/>
      <c r="AH162" s="1650"/>
      <c r="AI162" s="1650"/>
      <c r="AJ162" s="1650"/>
      <c r="AK162" s="1650"/>
      <c r="AL162" s="1650"/>
      <c r="AM162" s="1650"/>
      <c r="AO162" s="1169"/>
      <c r="AP162" s="1645"/>
      <c r="AQ162" s="1645"/>
      <c r="AR162" s="1169"/>
      <c r="AS162" s="1169"/>
      <c r="AT162" s="1169"/>
      <c r="AU162" s="1169"/>
      <c r="AV162" s="1645"/>
      <c r="AW162" s="1169"/>
      <c r="AX162" s="1169"/>
      <c r="AY162" s="553"/>
      <c r="AZ162" s="1169"/>
      <c r="BA162" s="1169"/>
      <c r="BB162" s="1169"/>
      <c r="BC162" s="1169"/>
      <c r="BD162" s="1169"/>
      <c r="BE162" s="1641"/>
      <c r="BF162" s="575"/>
      <c r="BG162" s="575"/>
      <c r="BH162" s="575"/>
      <c r="BI162" s="575"/>
      <c r="BJ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X163" s="1650"/>
      <c r="Y163" s="1650"/>
      <c r="Z163" s="1650"/>
      <c r="AA163" s="1650"/>
      <c r="AB163" s="1650"/>
      <c r="AC163" s="1650"/>
      <c r="AD163" s="1650"/>
      <c r="AE163" s="1650"/>
      <c r="AF163" s="1650"/>
      <c r="AG163" s="1650"/>
      <c r="AH163" s="1650"/>
      <c r="AI163" s="1650"/>
      <c r="AJ163" s="1650"/>
      <c r="AK163" s="1650"/>
      <c r="AL163" s="1650"/>
      <c r="AM163" s="1650"/>
      <c r="AO163" s="1169"/>
      <c r="AP163" s="1645"/>
      <c r="AQ163" s="1645"/>
      <c r="AR163" s="1169"/>
      <c r="AS163" s="1169"/>
      <c r="AT163" s="1169"/>
      <c r="AU163" s="1169"/>
      <c r="AV163" s="1645"/>
      <c r="AW163" s="1169"/>
      <c r="AX163" s="1169"/>
      <c r="AY163" s="553"/>
      <c r="AZ163" s="1169"/>
      <c r="BA163" s="1169"/>
      <c r="BB163" s="1169"/>
      <c r="BC163" s="1169"/>
      <c r="BD163" s="1169"/>
      <c r="BE163" s="1641"/>
      <c r="BF163" s="575"/>
      <c r="BG163" s="575"/>
      <c r="BH163" s="575"/>
      <c r="BI163" s="575"/>
      <c r="BJ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D164" s="1650"/>
      <c r="AE164" s="1650"/>
      <c r="AF164" s="1650"/>
      <c r="AG164" s="1650"/>
      <c r="AH164" s="1650"/>
      <c r="AI164" s="1650"/>
      <c r="AJ164" s="1650"/>
      <c r="AK164" s="1650"/>
      <c r="AL164" s="1650"/>
      <c r="AM164" s="1650"/>
      <c r="AO164" s="1169"/>
      <c r="AP164" s="1645"/>
      <c r="AQ164" s="1645"/>
      <c r="AR164" s="1169"/>
      <c r="AS164" s="1169"/>
      <c r="AT164" s="1169"/>
      <c r="AU164" s="1169"/>
      <c r="AV164" s="1645"/>
      <c r="AW164" s="1169"/>
      <c r="AX164" s="1169"/>
      <c r="AY164" s="553"/>
      <c r="AZ164" s="1169"/>
      <c r="BA164" s="1169"/>
      <c r="BB164" s="1169"/>
      <c r="BC164" s="1169"/>
      <c r="BD164" s="1169"/>
      <c r="BE164" s="1641"/>
      <c r="BF164" s="575"/>
      <c r="BG164" s="575"/>
      <c r="BH164" s="575"/>
      <c r="BI164" s="575"/>
      <c r="BJ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D165" s="1650"/>
      <c r="AE165" s="1650"/>
      <c r="AF165" s="1650"/>
      <c r="AG165" s="1650"/>
      <c r="AH165" s="1650"/>
      <c r="AI165" s="1650"/>
      <c r="AJ165" s="1650"/>
      <c r="AK165" s="1650"/>
      <c r="AL165" s="1650"/>
      <c r="AM165" s="1650"/>
      <c r="AO165" s="1169"/>
      <c r="AP165" s="1645"/>
      <c r="AQ165" s="1645"/>
      <c r="AR165" s="1169"/>
      <c r="AS165" s="1169"/>
      <c r="AT165" s="1169"/>
      <c r="AU165" s="1169"/>
      <c r="AV165" s="1645"/>
      <c r="AW165" s="1169"/>
      <c r="AX165" s="1169"/>
      <c r="AY165" s="553"/>
      <c r="AZ165" s="1169"/>
      <c r="BA165" s="1169"/>
      <c r="BB165" s="1169"/>
      <c r="BC165" s="1169"/>
      <c r="BD165" s="1169"/>
      <c r="BE165" s="1641"/>
      <c r="BF165" s="575"/>
      <c r="BG165" s="575"/>
      <c r="BH165" s="575"/>
      <c r="BI165" s="575"/>
      <c r="BJ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D166" s="1650"/>
      <c r="AE166" s="1650"/>
      <c r="AF166" s="1650"/>
      <c r="AG166" s="1650"/>
      <c r="AH166" s="1650"/>
      <c r="AI166" s="1650"/>
      <c r="AJ166" s="1650"/>
      <c r="AK166" s="1650"/>
      <c r="AL166" s="1650"/>
      <c r="AM166" s="1650"/>
      <c r="AO166" s="1169"/>
      <c r="AP166" s="1645"/>
      <c r="AQ166" s="1645"/>
      <c r="AR166" s="1169"/>
      <c r="AS166" s="1169"/>
      <c r="AT166" s="1169"/>
      <c r="AU166" s="1169"/>
      <c r="AV166" s="1645"/>
      <c r="AW166" s="1169"/>
      <c r="AX166" s="1169"/>
      <c r="AY166" s="553"/>
      <c r="AZ166" s="1169"/>
      <c r="BA166" s="1169"/>
      <c r="BB166" s="1169"/>
      <c r="BC166" s="1169"/>
      <c r="BD166" s="1169"/>
      <c r="BE166" s="1641"/>
      <c r="BF166" s="575"/>
      <c r="BG166" s="575"/>
      <c r="BH166" s="575"/>
      <c r="BI166" s="575"/>
      <c r="BJ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X167" s="1650"/>
      <c r="Y167" s="1650"/>
      <c r="Z167" s="1650"/>
      <c r="AA167" s="1650"/>
      <c r="AB167" s="1650"/>
      <c r="AC167" s="1650"/>
      <c r="AD167" s="1650"/>
      <c r="AE167" s="1650"/>
      <c r="AF167" s="1650"/>
      <c r="AG167" s="1650"/>
      <c r="AH167" s="1650"/>
      <c r="AI167" s="1650"/>
      <c r="AJ167" s="1650"/>
      <c r="AK167" s="1650"/>
      <c r="AL167" s="1650"/>
      <c r="AM167" s="1650"/>
      <c r="AO167" s="1169"/>
      <c r="AP167" s="1645"/>
      <c r="AQ167" s="1645"/>
      <c r="AR167" s="1169"/>
      <c r="AS167" s="1169"/>
      <c r="AT167" s="1169"/>
      <c r="AU167" s="1169"/>
      <c r="AV167" s="1645"/>
      <c r="AW167" s="1169"/>
      <c r="AX167" s="1169"/>
      <c r="AY167" s="553"/>
      <c r="AZ167" s="1169"/>
      <c r="BA167" s="1169"/>
      <c r="BB167" s="1169"/>
      <c r="BC167" s="1169"/>
      <c r="BD167" s="1169"/>
      <c r="BE167" s="1641"/>
      <c r="BF167" s="575"/>
      <c r="BG167" s="575"/>
      <c r="BH167" s="575"/>
      <c r="BI167" s="575"/>
      <c r="BJ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D168" s="1650"/>
      <c r="AE168" s="1650"/>
      <c r="AF168" s="1650"/>
      <c r="AG168" s="1650"/>
      <c r="AH168" s="1650"/>
      <c r="AI168" s="1650"/>
      <c r="AJ168" s="1650"/>
      <c r="AK168" s="1650"/>
      <c r="AL168" s="1650"/>
      <c r="AM168" s="1650"/>
      <c r="AO168" s="1169"/>
      <c r="AP168" s="1645"/>
      <c r="AQ168" s="1645"/>
      <c r="AR168" s="1169"/>
      <c r="AS168" s="1169"/>
      <c r="AT168" s="1169"/>
      <c r="AU168" s="1169"/>
      <c r="AV168" s="1645"/>
      <c r="AW168" s="1169"/>
      <c r="AX168" s="1169"/>
      <c r="AY168" s="553"/>
      <c r="AZ168" s="1169"/>
      <c r="BA168" s="1169"/>
      <c r="BB168" s="1169"/>
      <c r="BC168" s="1169"/>
      <c r="BD168" s="1169"/>
      <c r="BE168" s="1641"/>
      <c r="BF168" s="575"/>
      <c r="BG168" s="575"/>
      <c r="BH168" s="575"/>
      <c r="BI168" s="575"/>
      <c r="BJ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D169" s="1650"/>
      <c r="AE169" s="1650"/>
      <c r="AF169" s="1650"/>
      <c r="AG169" s="1650"/>
      <c r="AH169" s="1650"/>
      <c r="AI169" s="1650"/>
      <c r="AJ169" s="1650"/>
      <c r="AK169" s="1650"/>
      <c r="AL169" s="1650"/>
      <c r="AM169" s="1650"/>
      <c r="AO169" s="1169"/>
      <c r="AP169" s="1645"/>
      <c r="AQ169" s="1645"/>
      <c r="AR169" s="1169"/>
      <c r="AS169" s="1169"/>
      <c r="AT169" s="1169"/>
      <c r="AU169" s="1169"/>
      <c r="AV169" s="1645"/>
      <c r="AW169" s="1169"/>
      <c r="AX169" s="1169"/>
      <c r="AY169" s="553"/>
      <c r="AZ169" s="1169"/>
      <c r="BA169" s="1169"/>
      <c r="BB169" s="1169"/>
      <c r="BC169" s="1169"/>
      <c r="BD169" s="1169"/>
      <c r="BE169" s="1641"/>
      <c r="BF169" s="575"/>
      <c r="BG169" s="575"/>
      <c r="BH169" s="575"/>
      <c r="BI169" s="575"/>
      <c r="BJ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D170" s="1650"/>
      <c r="AE170" s="1650"/>
      <c r="AF170" s="1650"/>
      <c r="AG170" s="1650"/>
      <c r="AH170" s="1650"/>
      <c r="AI170" s="1650"/>
      <c r="AJ170" s="1650"/>
      <c r="AK170" s="1650"/>
      <c r="AL170" s="1650"/>
      <c r="AM170" s="1650"/>
      <c r="AO170" s="1169"/>
      <c r="AP170" s="1645"/>
      <c r="AQ170" s="1645"/>
      <c r="AR170" s="1169"/>
      <c r="AS170" s="1169"/>
      <c r="AT170" s="1169"/>
      <c r="AU170" s="1169"/>
      <c r="AV170" s="1645"/>
      <c r="AW170" s="1169"/>
      <c r="AX170" s="1169"/>
      <c r="AY170" s="553"/>
      <c r="AZ170" s="1169"/>
      <c r="BA170" s="1169"/>
      <c r="BB170" s="1169"/>
      <c r="BC170" s="1169"/>
      <c r="BD170" s="1169"/>
      <c r="BE170" s="1641"/>
      <c r="BF170" s="575"/>
      <c r="BG170" s="575"/>
      <c r="BH170" s="575"/>
      <c r="BI170" s="575"/>
      <c r="BJ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X171" s="1650"/>
      <c r="Y171" s="1650"/>
      <c r="Z171" s="1650"/>
      <c r="AA171" s="1650"/>
      <c r="AB171" s="1650"/>
      <c r="AC171" s="1650"/>
      <c r="AD171" s="1650"/>
      <c r="AE171" s="1650"/>
      <c r="AF171" s="1650"/>
      <c r="AG171" s="1650"/>
      <c r="AH171" s="1650"/>
      <c r="AI171" s="1650"/>
      <c r="AJ171" s="1650"/>
      <c r="AK171" s="1650"/>
      <c r="AL171" s="1650"/>
      <c r="AM171" s="1650"/>
      <c r="AO171" s="1169"/>
      <c r="AP171" s="1645"/>
      <c r="AQ171" s="1645"/>
      <c r="AR171" s="1169"/>
      <c r="AS171" s="1169"/>
      <c r="AT171" s="1169"/>
      <c r="AU171" s="1169"/>
      <c r="AV171" s="1645"/>
      <c r="AW171" s="1169"/>
      <c r="AX171" s="1169"/>
      <c r="AY171" s="553"/>
      <c r="AZ171" s="1169"/>
      <c r="BA171" s="1169"/>
      <c r="BB171" s="1169"/>
      <c r="BC171" s="1169"/>
      <c r="BD171" s="1169"/>
      <c r="BE171" s="1641"/>
      <c r="BF171" s="575"/>
      <c r="BG171" s="575"/>
      <c r="BH171" s="575"/>
      <c r="BI171" s="575"/>
      <c r="BJ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D172" s="1650"/>
      <c r="AE172" s="1650"/>
      <c r="AF172" s="1650"/>
      <c r="AG172" s="1650"/>
      <c r="AH172" s="1650"/>
      <c r="AI172" s="1650"/>
      <c r="AJ172" s="1650"/>
      <c r="AK172" s="1650"/>
      <c r="AL172" s="1650"/>
      <c r="AM172" s="1650"/>
      <c r="AO172" s="1169"/>
      <c r="AP172" s="1645"/>
      <c r="AQ172" s="1645"/>
      <c r="AR172" s="1169"/>
      <c r="AS172" s="1169"/>
      <c r="AT172" s="1169"/>
      <c r="AU172" s="1169"/>
      <c r="AV172" s="1645"/>
      <c r="AW172" s="1169"/>
      <c r="AX172" s="1169"/>
      <c r="AY172" s="553"/>
      <c r="AZ172" s="1169"/>
      <c r="BA172" s="1169"/>
      <c r="BB172" s="1169"/>
      <c r="BC172" s="1169"/>
      <c r="BD172" s="1169"/>
      <c r="BE172" s="1641"/>
      <c r="BF172" s="575"/>
      <c r="BG172" s="575"/>
      <c r="BH172" s="575"/>
      <c r="BI172" s="575"/>
      <c r="BJ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D173" s="1650"/>
      <c r="AE173" s="1650"/>
      <c r="AF173" s="1650"/>
      <c r="AG173" s="1650"/>
      <c r="AH173" s="1650"/>
      <c r="AI173" s="1650"/>
      <c r="AJ173" s="1650"/>
      <c r="AK173" s="1650"/>
      <c r="AL173" s="1650"/>
      <c r="AM173" s="1650"/>
      <c r="AO173" s="1169"/>
      <c r="AP173" s="1645"/>
      <c r="AQ173" s="1645"/>
      <c r="AR173" s="1169"/>
      <c r="AS173" s="1169"/>
      <c r="AT173" s="1169"/>
      <c r="AU173" s="1169"/>
      <c r="AV173" s="1645"/>
      <c r="AW173" s="1169"/>
      <c r="AX173" s="1169"/>
      <c r="AY173" s="553"/>
      <c r="AZ173" s="1169"/>
      <c r="BA173" s="1169"/>
      <c r="BB173" s="1169"/>
      <c r="BC173" s="1169"/>
      <c r="BD173" s="1169"/>
      <c r="BE173" s="1641"/>
      <c r="BF173" s="575"/>
      <c r="BG173" s="575"/>
      <c r="BH173" s="575"/>
      <c r="BI173" s="575"/>
      <c r="BJ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D174" s="1650"/>
      <c r="AE174" s="1650"/>
      <c r="AF174" s="1650"/>
      <c r="AG174" s="1650"/>
      <c r="AH174" s="1650"/>
      <c r="AI174" s="1650"/>
      <c r="AJ174" s="1650"/>
      <c r="AK174" s="1650"/>
      <c r="AL174" s="1650"/>
      <c r="AM174" s="1650"/>
      <c r="AO174" s="1169"/>
      <c r="AP174" s="1645"/>
      <c r="AQ174" s="1645"/>
      <c r="AR174" s="1169"/>
      <c r="AS174" s="1169"/>
      <c r="AT174" s="1169"/>
      <c r="AU174" s="1169"/>
      <c r="AV174" s="1645"/>
      <c r="AW174" s="1169"/>
      <c r="AX174" s="1169"/>
      <c r="AY174" s="553"/>
      <c r="AZ174" s="1169"/>
      <c r="BA174" s="1169"/>
      <c r="BB174" s="1169"/>
      <c r="BC174" s="1169"/>
      <c r="BD174" s="1169"/>
      <c r="BE174" s="1641"/>
      <c r="BF174" s="575"/>
      <c r="BG174" s="575"/>
      <c r="BH174" s="575"/>
      <c r="BI174" s="575"/>
      <c r="BJ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X175" s="1650"/>
      <c r="Y175" s="1650"/>
      <c r="Z175" s="1650"/>
      <c r="AA175" s="1650"/>
      <c r="AB175" s="1650"/>
      <c r="AC175" s="1650"/>
      <c r="AD175" s="1650"/>
      <c r="AE175" s="1650"/>
      <c r="AF175" s="1650"/>
      <c r="AG175" s="1650"/>
      <c r="AH175" s="1650"/>
      <c r="AI175" s="1650"/>
      <c r="AJ175" s="1650"/>
      <c r="AK175" s="1650"/>
      <c r="AL175" s="1650"/>
      <c r="AM175" s="1650"/>
      <c r="AO175" s="1169"/>
      <c r="AP175" s="1645"/>
      <c r="AQ175" s="1645"/>
      <c r="AR175" s="1169"/>
      <c r="AS175" s="1169"/>
      <c r="AT175" s="1169"/>
      <c r="AU175" s="1169"/>
      <c r="AV175" s="1645"/>
      <c r="AW175" s="1169"/>
      <c r="AX175" s="1169"/>
      <c r="AY175" s="553"/>
      <c r="AZ175" s="1169"/>
      <c r="BA175" s="1169"/>
      <c r="BB175" s="1169"/>
      <c r="BC175" s="1169"/>
      <c r="BD175" s="1169"/>
      <c r="BE175" s="1641"/>
      <c r="BF175" s="575"/>
      <c r="BG175" s="575"/>
      <c r="BH175" s="575"/>
      <c r="BI175" s="575"/>
      <c r="BJ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D176" s="1650"/>
      <c r="AE176" s="1650"/>
      <c r="AF176" s="1650"/>
      <c r="AG176" s="1650"/>
      <c r="AH176" s="1650"/>
      <c r="AI176" s="1650"/>
      <c r="AJ176" s="1650"/>
      <c r="AK176" s="1650"/>
      <c r="AL176" s="1650"/>
      <c r="AM176" s="1650"/>
      <c r="AO176" s="1169"/>
      <c r="AP176" s="1645"/>
      <c r="AQ176" s="1645"/>
      <c r="AR176" s="1169"/>
      <c r="AS176" s="1169"/>
      <c r="AT176" s="1169"/>
      <c r="AU176" s="1169"/>
      <c r="AV176" s="1645"/>
      <c r="AW176" s="1169"/>
      <c r="AX176" s="1169"/>
      <c r="AY176" s="553"/>
      <c r="AZ176" s="1169"/>
      <c r="BA176" s="1169"/>
      <c r="BB176" s="1169"/>
      <c r="BC176" s="1169"/>
      <c r="BD176" s="1169"/>
      <c r="BE176" s="1641"/>
      <c r="BF176" s="575"/>
      <c r="BG176" s="575"/>
      <c r="BH176" s="575"/>
      <c r="BI176" s="575"/>
      <c r="BJ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D177" s="1650"/>
      <c r="AE177" s="1650"/>
      <c r="AF177" s="1650"/>
      <c r="AG177" s="1650"/>
      <c r="AH177" s="1650"/>
      <c r="AI177" s="1650"/>
      <c r="AJ177" s="1650"/>
      <c r="AK177" s="1650"/>
      <c r="AL177" s="1650"/>
      <c r="AM177" s="1650"/>
      <c r="AO177" s="1169"/>
      <c r="AP177" s="1645"/>
      <c r="AQ177" s="1645"/>
      <c r="AR177" s="1169"/>
      <c r="AS177" s="1169"/>
      <c r="AT177" s="1169"/>
      <c r="AU177" s="1169"/>
      <c r="AV177" s="1645"/>
      <c r="AW177" s="1169"/>
      <c r="AX177" s="1169"/>
      <c r="AY177" s="553"/>
      <c r="AZ177" s="1169"/>
      <c r="BA177" s="1169"/>
      <c r="BB177" s="1169"/>
      <c r="BC177" s="1169"/>
      <c r="BD177" s="1169"/>
      <c r="BE177" s="1641"/>
      <c r="BF177" s="575"/>
      <c r="BG177" s="575"/>
      <c r="BH177" s="575"/>
      <c r="BI177" s="575"/>
      <c r="BJ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X178" s="1650"/>
      <c r="Y178" s="1650"/>
      <c r="Z178" s="1650"/>
      <c r="AA178" s="1650"/>
      <c r="AB178" s="1650"/>
      <c r="AC178" s="1650"/>
      <c r="AD178" s="1650"/>
      <c r="AE178" s="1650"/>
      <c r="AF178" s="1650"/>
      <c r="AG178" s="1650"/>
      <c r="AH178" s="1650"/>
      <c r="AI178" s="1650"/>
      <c r="AJ178" s="1650"/>
      <c r="AK178" s="1650"/>
      <c r="AL178" s="1650"/>
      <c r="AM178" s="1650"/>
      <c r="AO178" s="1169"/>
      <c r="AP178" s="1645"/>
      <c r="AQ178" s="1645"/>
      <c r="AR178" s="1169"/>
      <c r="AS178" s="1169"/>
      <c r="AT178" s="1169"/>
      <c r="AU178" s="1169"/>
      <c r="AV178" s="1645"/>
      <c r="AW178" s="1169"/>
      <c r="AX178" s="1169"/>
      <c r="AY178" s="553"/>
      <c r="AZ178" s="1169"/>
      <c r="BA178" s="1169"/>
      <c r="BB178" s="1169"/>
      <c r="BC178" s="1169"/>
      <c r="BD178" s="1169"/>
      <c r="BE178" s="1641"/>
      <c r="BF178" s="575"/>
      <c r="BG178" s="575"/>
      <c r="BH178" s="575"/>
      <c r="BI178" s="575"/>
      <c r="BJ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D179" s="1650"/>
      <c r="AE179" s="1650"/>
      <c r="AF179" s="1650"/>
      <c r="AG179" s="1650"/>
      <c r="AH179" s="1650"/>
      <c r="AI179" s="1650"/>
      <c r="AJ179" s="1650"/>
      <c r="AK179" s="1650"/>
      <c r="AL179" s="1650"/>
      <c r="AM179" s="1650"/>
      <c r="AO179" s="1169"/>
      <c r="AP179" s="1645"/>
      <c r="AQ179" s="1645"/>
      <c r="AR179" s="1169"/>
      <c r="AS179" s="1169"/>
      <c r="AT179" s="1169"/>
      <c r="AU179" s="1169"/>
      <c r="AV179" s="1645"/>
      <c r="AW179" s="1169"/>
      <c r="AX179" s="1169"/>
      <c r="AY179" s="553"/>
      <c r="AZ179" s="1169"/>
      <c r="BA179" s="1169"/>
      <c r="BB179" s="1169"/>
      <c r="BC179" s="1169"/>
      <c r="BD179" s="1169"/>
      <c r="BE179" s="1641"/>
      <c r="BF179" s="575"/>
      <c r="BG179" s="575"/>
      <c r="BH179" s="575"/>
      <c r="BI179" s="575"/>
      <c r="BJ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D180" s="1650"/>
      <c r="AE180" s="1650"/>
      <c r="AF180" s="1650"/>
      <c r="AG180" s="1650"/>
      <c r="AH180" s="1650"/>
      <c r="AI180" s="1650"/>
      <c r="AJ180" s="1650"/>
      <c r="AK180" s="1650"/>
      <c r="AL180" s="1650"/>
      <c r="AM180" s="1650"/>
      <c r="AO180" s="1169"/>
      <c r="AP180" s="1645"/>
      <c r="AQ180" s="1645"/>
      <c r="AR180" s="1169"/>
      <c r="AS180" s="1169"/>
      <c r="AT180" s="1169"/>
      <c r="AU180" s="1169"/>
      <c r="AV180" s="1645"/>
      <c r="AW180" s="1169"/>
      <c r="AX180" s="1169"/>
      <c r="AY180" s="553"/>
      <c r="AZ180" s="1169"/>
      <c r="BA180" s="1169"/>
      <c r="BB180" s="1169"/>
      <c r="BC180" s="1169"/>
      <c r="BD180" s="1169"/>
      <c r="BE180" s="1641"/>
      <c r="BF180" s="575"/>
      <c r="BG180" s="575"/>
      <c r="BH180" s="575"/>
      <c r="BI180" s="575"/>
      <c r="BJ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X181" s="1650"/>
      <c r="Y181" s="1650"/>
      <c r="Z181" s="1650"/>
      <c r="AA181" s="1650"/>
      <c r="AB181" s="1650"/>
      <c r="AC181" s="1650"/>
      <c r="AD181" s="1650"/>
      <c r="AE181" s="1650"/>
      <c r="AF181" s="1650"/>
      <c r="AG181" s="1650"/>
      <c r="AH181" s="1650"/>
      <c r="AI181" s="1650"/>
      <c r="AJ181" s="1650"/>
      <c r="AK181" s="1650"/>
      <c r="AL181" s="1650"/>
      <c r="AM181" s="1650"/>
      <c r="AO181" s="1169"/>
      <c r="AP181" s="1645"/>
      <c r="AQ181" s="1645"/>
      <c r="AR181" s="1169"/>
      <c r="AS181" s="1169"/>
      <c r="AT181" s="1169"/>
      <c r="AU181" s="1169"/>
      <c r="AV181" s="1645"/>
      <c r="AW181" s="1169"/>
      <c r="AX181" s="1169"/>
      <c r="AY181" s="553"/>
      <c r="AZ181" s="1169"/>
      <c r="BA181" s="1169"/>
      <c r="BB181" s="1169"/>
      <c r="BC181" s="1169"/>
      <c r="BD181" s="1169"/>
      <c r="BE181" s="1641"/>
      <c r="BF181" s="575"/>
      <c r="BG181" s="575"/>
      <c r="BH181" s="575"/>
      <c r="BI181" s="575"/>
      <c r="BJ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X182" s="1650"/>
      <c r="Y182" s="1650"/>
      <c r="Z182" s="1650"/>
      <c r="AA182" s="1650"/>
      <c r="AB182" s="1650"/>
      <c r="AC182" s="1650"/>
      <c r="AD182" s="1650"/>
      <c r="AE182" s="1650"/>
      <c r="AF182" s="1650"/>
      <c r="AG182" s="1650"/>
      <c r="AH182" s="1650"/>
      <c r="AI182" s="1650"/>
      <c r="AJ182" s="1650"/>
      <c r="AK182" s="1650"/>
      <c r="AL182" s="1650"/>
      <c r="AM182" s="1650"/>
      <c r="AO182" s="1169"/>
      <c r="AP182" s="1645"/>
      <c r="AQ182" s="1645"/>
      <c r="AR182" s="1169"/>
      <c r="AS182" s="1169"/>
      <c r="AT182" s="1169"/>
      <c r="AU182" s="1169"/>
      <c r="AV182" s="1645"/>
      <c r="AW182" s="1169"/>
      <c r="AX182" s="1169"/>
      <c r="AY182" s="553"/>
      <c r="AZ182" s="1169"/>
      <c r="BA182" s="1169"/>
      <c r="BB182" s="1169"/>
      <c r="BC182" s="1169"/>
      <c r="BD182" s="1169"/>
      <c r="BE182" s="1641"/>
      <c r="BF182" s="575"/>
      <c r="BG182" s="575"/>
      <c r="BH182" s="575"/>
      <c r="BI182" s="575"/>
      <c r="BJ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X183" s="1650"/>
      <c r="Y183" s="1650"/>
      <c r="Z183" s="1650"/>
      <c r="AA183" s="1650"/>
      <c r="AB183" s="1650"/>
      <c r="AC183" s="1650"/>
      <c r="AD183" s="1650"/>
      <c r="AE183" s="1650"/>
      <c r="AF183" s="1650"/>
      <c r="AG183" s="1650"/>
      <c r="AH183" s="1650"/>
      <c r="AI183" s="1650"/>
      <c r="AJ183" s="1650"/>
      <c r="AK183" s="1650"/>
      <c r="AL183" s="1650"/>
      <c r="AM183" s="1650"/>
      <c r="AO183" s="1169"/>
      <c r="AP183" s="1645"/>
      <c r="AQ183" s="1645"/>
      <c r="AR183" s="1169"/>
      <c r="AS183" s="1169"/>
      <c r="AT183" s="1169"/>
      <c r="AU183" s="1169"/>
      <c r="AV183" s="1645"/>
      <c r="AW183" s="1169"/>
      <c r="AX183" s="1169"/>
      <c r="AY183" s="553"/>
      <c r="AZ183" s="1169"/>
      <c r="BA183" s="1169"/>
      <c r="BB183" s="1169"/>
      <c r="BC183" s="1169"/>
      <c r="BD183" s="1169"/>
      <c r="BE183" s="1641"/>
      <c r="BF183" s="575"/>
      <c r="BG183" s="575"/>
      <c r="BH183" s="575"/>
      <c r="BI183" s="575"/>
      <c r="BJ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X184" s="1650"/>
      <c r="Y184" s="1650"/>
      <c r="Z184" s="1650"/>
      <c r="AA184" s="1650"/>
      <c r="AB184" s="1650"/>
      <c r="AC184" s="1650"/>
      <c r="AD184" s="1650"/>
      <c r="AE184" s="1650"/>
      <c r="AF184" s="1650"/>
      <c r="AG184" s="1650"/>
      <c r="AH184" s="1650"/>
      <c r="AI184" s="1650"/>
      <c r="AJ184" s="1650"/>
      <c r="AK184" s="1650"/>
      <c r="AL184" s="1650"/>
      <c r="AM184" s="1650"/>
      <c r="AO184" s="1169"/>
      <c r="AP184" s="1645"/>
      <c r="AQ184" s="1645"/>
      <c r="AR184" s="1169"/>
      <c r="AS184" s="1169"/>
      <c r="AT184" s="1169"/>
      <c r="AU184" s="1169"/>
      <c r="AV184" s="1645"/>
      <c r="AW184" s="1169"/>
      <c r="AX184" s="1169"/>
      <c r="AY184" s="553"/>
      <c r="AZ184" s="1169"/>
      <c r="BA184" s="1169"/>
      <c r="BB184" s="1169"/>
      <c r="BC184" s="1169"/>
      <c r="BD184" s="1169"/>
      <c r="BE184" s="1641"/>
      <c r="BF184" s="575"/>
      <c r="BG184" s="575"/>
      <c r="BH184" s="575"/>
      <c r="BI184" s="575"/>
      <c r="BJ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X185" s="1650"/>
      <c r="Y185" s="1650"/>
      <c r="Z185" s="1650"/>
      <c r="AA185" s="1650"/>
      <c r="AB185" s="1650"/>
      <c r="AC185" s="1650"/>
      <c r="AD185" s="1650"/>
      <c r="AE185" s="1650"/>
      <c r="AF185" s="1650"/>
      <c r="AG185" s="1650"/>
      <c r="AH185" s="1650"/>
      <c r="AI185" s="1650"/>
      <c r="AJ185" s="1650"/>
      <c r="AK185" s="1650"/>
      <c r="AL185" s="1650"/>
      <c r="AM185" s="1650"/>
      <c r="AO185" s="1169"/>
      <c r="AP185" s="1645"/>
      <c r="AQ185" s="1645"/>
      <c r="AR185" s="1169"/>
      <c r="AS185" s="1169"/>
      <c r="AT185" s="1169"/>
      <c r="AU185" s="1169"/>
      <c r="AV185" s="1645"/>
      <c r="AW185" s="1169"/>
      <c r="AX185" s="1169"/>
      <c r="AY185" s="553"/>
      <c r="AZ185" s="1169"/>
      <c r="BA185" s="1169"/>
      <c r="BB185" s="1169"/>
      <c r="BC185" s="1169"/>
      <c r="BD185" s="1169"/>
      <c r="BE185" s="1641"/>
      <c r="BF185" s="575"/>
      <c r="BG185" s="575"/>
      <c r="BH185" s="575"/>
      <c r="BI185" s="575"/>
      <c r="BJ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X186" s="1650"/>
      <c r="Y186" s="1650"/>
      <c r="Z186" s="1650"/>
      <c r="AA186" s="1650"/>
      <c r="AB186" s="1650"/>
      <c r="AC186" s="1650"/>
      <c r="AD186" s="1650"/>
      <c r="AE186" s="1650"/>
      <c r="AF186" s="1650"/>
      <c r="AG186" s="1650"/>
      <c r="AH186" s="1650"/>
      <c r="AI186" s="1650"/>
      <c r="AJ186" s="1650"/>
      <c r="AK186" s="1650"/>
      <c r="AL186" s="1650"/>
      <c r="AM186" s="1650"/>
      <c r="AO186" s="1169"/>
      <c r="AP186" s="1645"/>
      <c r="AQ186" s="1645"/>
      <c r="AR186" s="1169"/>
      <c r="AS186" s="1169"/>
      <c r="AT186" s="1169"/>
      <c r="AU186" s="1169"/>
      <c r="AV186" s="1645"/>
      <c r="AW186" s="1169"/>
      <c r="AX186" s="1169"/>
      <c r="AY186" s="553"/>
      <c r="AZ186" s="1169"/>
      <c r="BA186" s="1169"/>
      <c r="BB186" s="1169"/>
      <c r="BC186" s="1169"/>
      <c r="BD186" s="1169"/>
      <c r="BE186" s="1641"/>
      <c r="BF186" s="575"/>
      <c r="BG186" s="575"/>
      <c r="BH186" s="575"/>
      <c r="BI186" s="575"/>
      <c r="BJ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X187" s="1650"/>
      <c r="Y187" s="1650"/>
      <c r="Z187" s="1650"/>
      <c r="AA187" s="1650"/>
      <c r="AB187" s="1650"/>
      <c r="AC187" s="1650"/>
      <c r="AD187" s="1650"/>
      <c r="AE187" s="1650"/>
      <c r="AF187" s="1650"/>
      <c r="AG187" s="1650"/>
      <c r="AH187" s="1650"/>
      <c r="AI187" s="1650"/>
      <c r="AJ187" s="1650"/>
      <c r="AK187" s="1650"/>
      <c r="AL187" s="1650"/>
      <c r="AM187" s="1650"/>
      <c r="AO187" s="1169"/>
      <c r="AP187" s="1645"/>
      <c r="AQ187" s="1645"/>
      <c r="AR187" s="1169"/>
      <c r="AS187" s="1169"/>
      <c r="AT187" s="1169"/>
      <c r="AU187" s="1169"/>
      <c r="AV187" s="1645"/>
      <c r="AW187" s="1169"/>
      <c r="AX187" s="1169"/>
      <c r="AY187" s="553"/>
      <c r="AZ187" s="1169"/>
      <c r="BA187" s="1169"/>
      <c r="BB187" s="1169"/>
      <c r="BC187" s="1169"/>
      <c r="BD187" s="1169"/>
      <c r="BE187" s="1641"/>
      <c r="BF187" s="575"/>
      <c r="BG187" s="575"/>
      <c r="BH187" s="575"/>
      <c r="BI187" s="575"/>
      <c r="BJ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X188" s="1650"/>
      <c r="Y188" s="1650"/>
      <c r="Z188" s="1650"/>
      <c r="AA188" s="1650"/>
      <c r="AB188" s="1650"/>
      <c r="AC188" s="1650"/>
      <c r="AD188" s="1650"/>
      <c r="AE188" s="1650"/>
      <c r="AF188" s="1650"/>
      <c r="AG188" s="1650"/>
      <c r="AH188" s="1650"/>
      <c r="AI188" s="1650"/>
      <c r="AJ188" s="1650"/>
      <c r="AK188" s="1650"/>
      <c r="AL188" s="1650"/>
      <c r="AM188" s="1650"/>
      <c r="AO188" s="1169"/>
      <c r="AP188" s="1645"/>
      <c r="AQ188" s="1645"/>
      <c r="AR188" s="1169"/>
      <c r="AS188" s="1169"/>
      <c r="AT188" s="1169"/>
      <c r="AU188" s="1169"/>
      <c r="AV188" s="1645"/>
      <c r="AW188" s="1169"/>
      <c r="AX188" s="1169"/>
      <c r="AY188" s="553"/>
      <c r="AZ188" s="1169"/>
      <c r="BA188" s="1169"/>
      <c r="BB188" s="1169"/>
      <c r="BC188" s="1169"/>
      <c r="BD188" s="1169"/>
      <c r="BE188" s="1641"/>
      <c r="BF188" s="575"/>
      <c r="BG188" s="575"/>
      <c r="BH188" s="575"/>
      <c r="BI188" s="575"/>
      <c r="BJ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X189" s="1650"/>
      <c r="Y189" s="1650"/>
      <c r="Z189" s="1650"/>
      <c r="AA189" s="1650"/>
      <c r="AB189" s="1650"/>
      <c r="AC189" s="1650"/>
      <c r="AD189" s="1650"/>
      <c r="AE189" s="1650"/>
      <c r="AF189" s="1650"/>
      <c r="AG189" s="1650"/>
      <c r="AH189" s="1650"/>
      <c r="AI189" s="1650"/>
      <c r="AJ189" s="1650"/>
      <c r="AK189" s="1650"/>
      <c r="AL189" s="1650"/>
      <c r="AM189" s="1650"/>
      <c r="AO189" s="1169"/>
      <c r="AP189" s="1645"/>
      <c r="AQ189" s="1645"/>
      <c r="AR189" s="1169"/>
      <c r="AS189" s="1169"/>
      <c r="AT189" s="1169"/>
      <c r="AU189" s="1169"/>
      <c r="AV189" s="1645"/>
      <c r="AW189" s="1169"/>
      <c r="AX189" s="1169"/>
      <c r="AY189" s="553"/>
      <c r="AZ189" s="1169"/>
      <c r="BA189" s="1169"/>
      <c r="BB189" s="1169"/>
      <c r="BC189" s="1169"/>
      <c r="BD189" s="1169"/>
      <c r="BE189" s="1641"/>
      <c r="BF189" s="575"/>
      <c r="BG189" s="575"/>
      <c r="BH189" s="575"/>
      <c r="BI189" s="575"/>
      <c r="BJ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X190" s="1650"/>
      <c r="Y190" s="1650"/>
      <c r="Z190" s="1650"/>
      <c r="AA190" s="1650"/>
      <c r="AB190" s="1650"/>
      <c r="AC190" s="1650"/>
      <c r="AD190" s="1650"/>
      <c r="AE190" s="1650"/>
      <c r="AF190" s="1650"/>
      <c r="AG190" s="1650"/>
      <c r="AH190" s="1650"/>
      <c r="AI190" s="1650"/>
      <c r="AJ190" s="1650"/>
      <c r="AK190" s="1650"/>
      <c r="AL190" s="1650"/>
      <c r="AM190" s="1650"/>
      <c r="AO190" s="1169"/>
      <c r="AP190" s="1645"/>
      <c r="AQ190" s="1645"/>
      <c r="AR190" s="1169"/>
      <c r="AS190" s="1169"/>
      <c r="AT190" s="1169"/>
      <c r="AU190" s="1169"/>
      <c r="AV190" s="1645"/>
      <c r="AW190" s="1169"/>
      <c r="AX190" s="1169"/>
      <c r="AY190" s="553"/>
      <c r="AZ190" s="1169"/>
      <c r="BA190" s="1169"/>
      <c r="BB190" s="1169"/>
      <c r="BC190" s="1169"/>
      <c r="BD190" s="1169"/>
      <c r="BE190" s="1641"/>
      <c r="BF190" s="575"/>
      <c r="BG190" s="575"/>
      <c r="BH190" s="575"/>
      <c r="BI190" s="575"/>
      <c r="BJ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X191" s="1650"/>
      <c r="Y191" s="1650"/>
      <c r="Z191" s="1650"/>
      <c r="AA191" s="1650"/>
      <c r="AB191" s="1650"/>
      <c r="AC191" s="1650"/>
      <c r="AD191" s="1650"/>
      <c r="AE191" s="1650"/>
      <c r="AF191" s="1650"/>
      <c r="AG191" s="1650"/>
      <c r="AH191" s="1650"/>
      <c r="AI191" s="1650"/>
      <c r="AJ191" s="1650"/>
      <c r="AK191" s="1650"/>
      <c r="AL191" s="1650"/>
      <c r="AM191" s="1650"/>
      <c r="AO191" s="1169"/>
      <c r="AP191" s="1645"/>
      <c r="AQ191" s="1645"/>
      <c r="AR191" s="1169"/>
      <c r="AS191" s="1169"/>
      <c r="AT191" s="1169"/>
      <c r="AU191" s="1169"/>
      <c r="AV191" s="1645"/>
      <c r="AW191" s="1169"/>
      <c r="AX191" s="1169"/>
      <c r="AY191" s="553"/>
      <c r="AZ191" s="1169"/>
      <c r="BA191" s="1169"/>
      <c r="BB191" s="1169"/>
      <c r="BC191" s="1169"/>
      <c r="BD191" s="1169"/>
      <c r="BE191" s="1641"/>
      <c r="BF191" s="575"/>
      <c r="BG191" s="575"/>
      <c r="BH191" s="575"/>
      <c r="BI191" s="575"/>
      <c r="BJ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X192" s="1650"/>
      <c r="Y192" s="1650"/>
      <c r="Z192" s="1650"/>
      <c r="AA192" s="1650"/>
      <c r="AB192" s="1650"/>
      <c r="AC192" s="1650"/>
      <c r="AD192" s="1650"/>
      <c r="AE192" s="1650"/>
      <c r="AF192" s="1650"/>
      <c r="AG192" s="1650"/>
      <c r="AH192" s="1650"/>
      <c r="AI192" s="1650"/>
      <c r="AJ192" s="1650"/>
      <c r="AK192" s="1650"/>
      <c r="AL192" s="1650"/>
      <c r="AM192" s="1650"/>
      <c r="AO192" s="1169"/>
      <c r="AP192" s="1645"/>
      <c r="AQ192" s="1645"/>
      <c r="AR192" s="1169"/>
      <c r="AS192" s="1169"/>
      <c r="AT192" s="1169"/>
      <c r="AU192" s="1169"/>
      <c r="AV192" s="1645"/>
      <c r="AW192" s="1169"/>
      <c r="AX192" s="1169"/>
      <c r="AY192" s="553"/>
      <c r="AZ192" s="1169"/>
      <c r="BA192" s="1169"/>
      <c r="BB192" s="1169"/>
      <c r="BC192" s="1169"/>
      <c r="BD192" s="1169"/>
      <c r="BE192" s="1641"/>
      <c r="BF192" s="575"/>
      <c r="BG192" s="575"/>
      <c r="BH192" s="575"/>
      <c r="BI192" s="575"/>
      <c r="BJ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X193" s="1650"/>
      <c r="Y193" s="1650"/>
      <c r="Z193" s="1650"/>
      <c r="AA193" s="1650"/>
      <c r="AB193" s="1650"/>
      <c r="AC193" s="1650"/>
      <c r="AD193" s="1650"/>
      <c r="AE193" s="1650"/>
      <c r="AF193" s="1650"/>
      <c r="AG193" s="1650"/>
      <c r="AH193" s="1650"/>
      <c r="AI193" s="1650"/>
      <c r="AJ193" s="1650"/>
      <c r="AK193" s="1650"/>
      <c r="AL193" s="1650"/>
      <c r="AM193" s="1650"/>
      <c r="AO193" s="1169"/>
      <c r="AP193" s="1645"/>
      <c r="AQ193" s="1645"/>
      <c r="AR193" s="1169"/>
      <c r="AS193" s="1169"/>
      <c r="AT193" s="1169"/>
      <c r="AU193" s="1169"/>
      <c r="AV193" s="1645"/>
      <c r="AW193" s="1169"/>
      <c r="AX193" s="1169"/>
      <c r="AY193" s="553"/>
      <c r="AZ193" s="1169"/>
      <c r="BA193" s="1169"/>
      <c r="BB193" s="1169"/>
      <c r="BC193" s="1169"/>
      <c r="BD193" s="1169"/>
      <c r="BE193" s="1641"/>
      <c r="BF193" s="575"/>
      <c r="BG193" s="575"/>
      <c r="BH193" s="575"/>
      <c r="BI193" s="575"/>
      <c r="BJ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X194" s="1650"/>
      <c r="Y194" s="1650"/>
      <c r="Z194" s="1650"/>
      <c r="AA194" s="1650"/>
      <c r="AB194" s="1650"/>
      <c r="AC194" s="1650"/>
      <c r="AD194" s="1650"/>
      <c r="AE194" s="1650"/>
      <c r="AF194" s="1650"/>
      <c r="AG194" s="1650"/>
      <c r="AH194" s="1650"/>
      <c r="AI194" s="1650"/>
      <c r="AJ194" s="1650"/>
      <c r="AK194" s="1650"/>
      <c r="AL194" s="1650"/>
      <c r="AM194" s="1650"/>
      <c r="AO194" s="1169"/>
      <c r="AP194" s="1645"/>
      <c r="AQ194" s="1645"/>
      <c r="AR194" s="1169"/>
      <c r="AS194" s="1169"/>
      <c r="AT194" s="1169"/>
      <c r="AU194" s="1169"/>
      <c r="AV194" s="1645"/>
      <c r="AW194" s="1169"/>
      <c r="AX194" s="1169"/>
      <c r="AY194" s="553"/>
      <c r="AZ194" s="1169"/>
      <c r="BA194" s="1169"/>
      <c r="BB194" s="1169"/>
      <c r="BC194" s="1169"/>
      <c r="BD194" s="1169"/>
      <c r="BE194" s="1641"/>
      <c r="BF194" s="575"/>
      <c r="BG194" s="575"/>
      <c r="BH194" s="575"/>
      <c r="BI194" s="575"/>
      <c r="BJ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X195" s="1650"/>
      <c r="Y195" s="1650"/>
      <c r="Z195" s="1650"/>
      <c r="AA195" s="1650"/>
      <c r="AB195" s="1650"/>
      <c r="AC195" s="1650"/>
      <c r="AD195" s="1650"/>
      <c r="AE195" s="1650"/>
      <c r="AF195" s="1650"/>
      <c r="AG195" s="1650"/>
      <c r="AH195" s="1650"/>
      <c r="AI195" s="1650"/>
      <c r="AJ195" s="1650"/>
      <c r="AK195" s="1650"/>
      <c r="AL195" s="1650"/>
      <c r="AM195" s="1650"/>
      <c r="AO195" s="1169"/>
      <c r="AP195" s="1645"/>
      <c r="AQ195" s="1645"/>
      <c r="AR195" s="1169"/>
      <c r="AS195" s="1169"/>
      <c r="AT195" s="1169"/>
      <c r="AU195" s="1169"/>
      <c r="AV195" s="1645"/>
      <c r="AW195" s="1169"/>
      <c r="AX195" s="1169"/>
      <c r="AY195" s="553"/>
      <c r="AZ195" s="1169"/>
      <c r="BA195" s="1169"/>
      <c r="BB195" s="1169"/>
      <c r="BC195" s="1169"/>
      <c r="BD195" s="1169"/>
      <c r="BE195" s="1641"/>
      <c r="BF195" s="575"/>
      <c r="BG195" s="575"/>
      <c r="BH195" s="575"/>
      <c r="BI195" s="575"/>
      <c r="BJ195" s="1650">
        <v>11</v>
      </c>
    </row>
    <row customHeight="1" ht="11.549999999999999">
      <c r="J196" s="1644"/>
      <c r="K196" s="1644"/>
      <c r="L196" s="1644"/>
      <c r="M196" s="1644"/>
      <c r="N196" s="1644"/>
      <c r="O196" s="1644"/>
      <c r="P196" s="1644"/>
      <c r="Q196" s="1644"/>
      <c r="R196" s="1644"/>
      <c r="S196" s="1644"/>
      <c r="T196" s="1644"/>
      <c r="U196" s="1644"/>
      <c r="V196" s="1644"/>
      <c r="W196" s="1644"/>
      <c r="X196" s="1644"/>
      <c r="Y196" s="1644"/>
      <c r="Z196" s="1644"/>
      <c r="AA196" s="1644"/>
      <c r="AB196" s="1644"/>
      <c r="AC196" s="1644"/>
      <c r="AD196" s="1644"/>
      <c r="AE196" s="1644"/>
      <c r="AF196" s="1644"/>
      <c r="AG196" s="1644"/>
      <c r="AH196" s="1644"/>
      <c r="AI196" s="1644"/>
      <c r="AJ196" s="1644"/>
      <c r="AK196" s="1644"/>
      <c r="AL196" s="1644"/>
      <c r="AM196" s="1644"/>
      <c r="BJ196" s="1640">
        <v>11</v>
      </c>
    </row>
    <row customHeight="1" ht="11.549999999999999">
      <c r="J197" s="1644"/>
      <c r="K197" s="1644"/>
      <c r="L197" s="1644"/>
      <c r="M197" s="1644"/>
      <c r="N197" s="1644"/>
      <c r="O197" s="1644"/>
      <c r="P197" s="1644"/>
      <c r="Q197" s="1644"/>
      <c r="R197" s="1644"/>
      <c r="S197" s="1644"/>
      <c r="T197" s="1644"/>
      <c r="U197" s="1644"/>
      <c r="V197" s="1644"/>
      <c r="W197" s="1644"/>
      <c r="X197" s="1644"/>
      <c r="Y197" s="1644"/>
      <c r="Z197" s="1644"/>
      <c r="AA197" s="1644"/>
      <c r="AB197" s="1644"/>
      <c r="AC197" s="1644"/>
      <c r="AD197" s="1644"/>
      <c r="AE197" s="1644"/>
      <c r="AF197" s="1644"/>
      <c r="AG197" s="1644"/>
      <c r="AH197" s="1644"/>
      <c r="AI197" s="1644"/>
      <c r="AJ197" s="1644"/>
      <c r="AK197" s="1644"/>
      <c r="AL197" s="1644"/>
      <c r="AM197" s="1644"/>
      <c r="BJ197" s="1640">
        <v>11</v>
      </c>
    </row>
    <row customHeight="1" ht="11.549999999999999">
      <c r="J198" s="1644"/>
      <c r="K198" s="1644"/>
      <c r="L198" s="1644"/>
      <c r="M198" s="1644"/>
      <c r="N198" s="1644"/>
      <c r="O198" s="1644"/>
      <c r="P198" s="1644"/>
      <c r="Q198" s="1644"/>
      <c r="R198" s="1644"/>
      <c r="S198" s="1644"/>
      <c r="T198" s="1644"/>
      <c r="U198" s="1644"/>
      <c r="V198" s="1644"/>
      <c r="W198" s="1644"/>
      <c r="X198" s="1644"/>
      <c r="Y198" s="1644"/>
      <c r="Z198" s="1644"/>
      <c r="AA198" s="1644"/>
      <c r="AB198" s="1644"/>
      <c r="AC198" s="1644"/>
      <c r="AD198" s="1644"/>
      <c r="AE198" s="1644"/>
      <c r="AF198" s="1644"/>
      <c r="AG198" s="1644"/>
      <c r="AH198" s="1644"/>
      <c r="AI198" s="1644"/>
      <c r="AJ198" s="1644"/>
      <c r="AK198" s="1644"/>
      <c r="AL198" s="1644"/>
      <c r="AM198" s="1644"/>
      <c r="BJ198" s="1640">
        <v>11</v>
      </c>
    </row>
    <row customHeight="1" ht="11.549999999999999">
      <c r="A199" s="999"/>
      <c r="B199" s="1640"/>
      <c r="D199" s="1640"/>
      <c r="J199" s="1644"/>
      <c r="K199" s="1644"/>
      <c r="L199" s="1644"/>
      <c r="M199" s="1644"/>
      <c r="N199" s="1644"/>
      <c r="O199" s="1644"/>
      <c r="P199" s="1644"/>
      <c r="Q199" s="1644"/>
      <c r="R199" s="1644"/>
      <c r="S199" s="1644"/>
      <c r="T199" s="1644"/>
      <c r="U199" s="1644"/>
      <c r="V199" s="1644"/>
      <c r="W199" s="1644"/>
      <c r="X199" s="1644"/>
      <c r="Y199" s="1644"/>
      <c r="Z199" s="1644"/>
      <c r="AA199" s="1644"/>
      <c r="AB199" s="1644"/>
      <c r="AC199" s="1644"/>
      <c r="AD199" s="1644"/>
      <c r="AE199" s="1644"/>
      <c r="AF199" s="1644"/>
      <c r="AG199" s="1644"/>
      <c r="AH199" s="1644"/>
      <c r="AI199" s="1644"/>
      <c r="AJ199" s="1644"/>
      <c r="AK199" s="1644"/>
      <c r="AL199" s="1644"/>
      <c r="AM199" s="1644"/>
      <c r="AO199" s="1640"/>
      <c r="AR199" s="1640"/>
      <c r="AS199" s="1640"/>
      <c r="AT199" s="1640"/>
      <c r="AU199" s="1640"/>
      <c r="AW199" s="1640"/>
      <c r="AX199" s="1640"/>
      <c r="AY199" s="1640"/>
      <c r="AZ199" s="1640"/>
      <c r="BA199" s="1640"/>
      <c r="BB199" s="1640"/>
      <c r="BC199" s="1640"/>
      <c r="BD199" s="1640"/>
      <c r="BE199" s="1640"/>
      <c r="BF199" s="1640"/>
      <c r="BG199" s="1640"/>
      <c r="BH199" s="1640"/>
      <c r="BI199" s="1640"/>
      <c r="BJ199" s="1640">
        <v>11</v>
      </c>
    </row>
    <row customHeight="1" ht="11.549999999999999">
      <c r="A200" s="999"/>
      <c r="B200" s="1640"/>
      <c r="D200" s="1640"/>
      <c r="J200" s="1644"/>
      <c r="K200" s="1644"/>
      <c r="L200" s="1644"/>
      <c r="M200" s="1644"/>
      <c r="N200" s="1644"/>
      <c r="O200" s="1644"/>
      <c r="P200" s="1644"/>
      <c r="Q200" s="1644"/>
      <c r="R200" s="1644"/>
      <c r="S200" s="1644"/>
      <c r="T200" s="1644"/>
      <c r="U200" s="1644"/>
      <c r="V200" s="1644"/>
      <c r="W200" s="1644"/>
      <c r="X200" s="1644"/>
      <c r="Y200" s="1644"/>
      <c r="Z200" s="1644"/>
      <c r="AA200" s="1644"/>
      <c r="AB200" s="1644"/>
      <c r="AC200" s="1644"/>
      <c r="AD200" s="1644"/>
      <c r="AE200" s="1644"/>
      <c r="AF200" s="1644"/>
      <c r="AG200" s="1644"/>
      <c r="AH200" s="1644"/>
      <c r="AI200" s="1644"/>
      <c r="AJ200" s="1644"/>
      <c r="AK200" s="1644"/>
      <c r="AL200" s="1644"/>
      <c r="AM200" s="1644"/>
      <c r="AO200" s="1640"/>
      <c r="AR200" s="1640"/>
      <c r="AS200" s="1640"/>
      <c r="AT200" s="1640"/>
      <c r="AU200" s="1640"/>
      <c r="AW200" s="1640"/>
      <c r="AX200" s="1640"/>
      <c r="AY200" s="1640"/>
      <c r="AZ200" s="1640"/>
      <c r="BA200" s="1640"/>
      <c r="BB200" s="1640"/>
      <c r="BC200" s="1640"/>
      <c r="BD200" s="1640"/>
      <c r="BE200" s="1640"/>
      <c r="BF200" s="1640"/>
      <c r="BG200" s="1640"/>
      <c r="BH200" s="1640"/>
      <c r="BI200" s="1640"/>
      <c r="BJ200" s="1640">
        <v>11</v>
      </c>
    </row>
    <row customHeight="1" ht="11.549999999999999">
      <c r="A201" s="999"/>
      <c r="B201" s="1640"/>
      <c r="D201" s="1640"/>
      <c r="J201" s="1644"/>
      <c r="K201" s="1644"/>
      <c r="L201" s="1644"/>
      <c r="M201" s="1644"/>
      <c r="N201" s="1644"/>
      <c r="O201" s="1644"/>
      <c r="P201" s="1644"/>
      <c r="Q201" s="1644"/>
      <c r="R201" s="1644"/>
      <c r="S201" s="1644"/>
      <c r="T201" s="1644"/>
      <c r="U201" s="1644"/>
      <c r="V201" s="1644"/>
      <c r="W201" s="1644"/>
      <c r="X201" s="1644"/>
      <c r="Y201" s="1644"/>
      <c r="Z201" s="1644"/>
      <c r="AA201" s="1644"/>
      <c r="AB201" s="1644"/>
      <c r="AC201" s="1644"/>
      <c r="AD201" s="1644"/>
      <c r="AE201" s="1644"/>
      <c r="AF201" s="1644"/>
      <c r="AG201" s="1644"/>
      <c r="AH201" s="1644"/>
      <c r="AI201" s="1644"/>
      <c r="AJ201" s="1644"/>
      <c r="AK201" s="1644"/>
      <c r="AL201" s="1644"/>
      <c r="AM201" s="1644"/>
      <c r="AO201" s="1640"/>
      <c r="AR201" s="1640"/>
      <c r="AS201" s="1640"/>
      <c r="AT201" s="1640"/>
      <c r="AU201" s="1640"/>
      <c r="AW201" s="1640"/>
      <c r="AX201" s="1640"/>
      <c r="AY201" s="1640"/>
      <c r="AZ201" s="1640"/>
      <c r="BA201" s="1640"/>
      <c r="BB201" s="1640"/>
      <c r="BC201" s="1640"/>
      <c r="BD201" s="1640"/>
      <c r="BE201" s="1640"/>
      <c r="BF201" s="1640"/>
      <c r="BG201" s="1640"/>
      <c r="BH201" s="1640"/>
      <c r="BI201" s="1640"/>
      <c r="BJ201" s="1640">
        <v>11</v>
      </c>
    </row>
    <row customHeight="1" ht="11.549999999999999">
      <c r="A202" s="999"/>
      <c r="B202" s="1640"/>
      <c r="D202" s="1640"/>
      <c r="J202" s="1644"/>
      <c r="K202" s="1644"/>
      <c r="L202" s="1644"/>
      <c r="M202" s="1644"/>
      <c r="N202" s="1644"/>
      <c r="O202" s="1644"/>
      <c r="P202" s="1644"/>
      <c r="Q202" s="1644"/>
      <c r="R202" s="1644"/>
      <c r="S202" s="1644"/>
      <c r="T202" s="1644"/>
      <c r="U202" s="1644"/>
      <c r="V202" s="1644"/>
      <c r="W202" s="1644"/>
      <c r="X202" s="1644"/>
      <c r="Y202" s="1644"/>
      <c r="Z202" s="1644"/>
      <c r="AA202" s="1644"/>
      <c r="AB202" s="1644"/>
      <c r="AC202" s="1644"/>
      <c r="AD202" s="1644"/>
      <c r="AE202" s="1644"/>
      <c r="AF202" s="1644"/>
      <c r="AG202" s="1644"/>
      <c r="AH202" s="1644"/>
      <c r="AI202" s="1644"/>
      <c r="AJ202" s="1644"/>
      <c r="AK202" s="1644"/>
      <c r="AL202" s="1644"/>
      <c r="AM202" s="1644"/>
      <c r="AO202" s="1640"/>
      <c r="AR202" s="1640"/>
      <c r="AS202" s="1640"/>
      <c r="AT202" s="1640"/>
      <c r="AU202" s="1640"/>
      <c r="AW202" s="1640"/>
      <c r="AX202" s="1640"/>
      <c r="AY202" s="1640"/>
      <c r="AZ202" s="1640"/>
      <c r="BA202" s="1640"/>
      <c r="BB202" s="1640"/>
      <c r="BC202" s="1640"/>
      <c r="BD202" s="1640"/>
      <c r="BE202" s="1640"/>
      <c r="BF202" s="1640"/>
      <c r="BG202" s="1640"/>
      <c r="BH202" s="1640"/>
      <c r="BI202" s="1640"/>
      <c r="BJ202" s="1640">
        <v>11</v>
      </c>
    </row>
    <row customHeight="1" ht="11.549999999999999">
      <c r="A203" s="999"/>
      <c r="B203" s="1640"/>
      <c r="D203" s="1640"/>
      <c r="J203" s="1644"/>
      <c r="K203" s="1644"/>
      <c r="L203" s="1644"/>
      <c r="M203" s="1644"/>
      <c r="N203" s="1644"/>
      <c r="O203" s="1644"/>
      <c r="P203" s="1644"/>
      <c r="Q203" s="1644"/>
      <c r="R203" s="1644"/>
      <c r="S203" s="1644"/>
      <c r="T203" s="1644"/>
      <c r="U203" s="1644"/>
      <c r="V203" s="1644"/>
      <c r="W203" s="1644"/>
      <c r="X203" s="1644"/>
      <c r="Y203" s="1644"/>
      <c r="Z203" s="1644"/>
      <c r="AA203" s="1644"/>
      <c r="AB203" s="1644"/>
      <c r="AC203" s="1644"/>
      <c r="AD203" s="1644"/>
      <c r="AE203" s="1644"/>
      <c r="AF203" s="1644"/>
      <c r="AG203" s="1644"/>
      <c r="AH203" s="1644"/>
      <c r="AI203" s="1644"/>
      <c r="AJ203" s="1644"/>
      <c r="AK203" s="1644"/>
      <c r="AL203" s="1644"/>
      <c r="AM203" s="1644"/>
      <c r="AO203" s="1640"/>
      <c r="AR203" s="1640"/>
      <c r="AS203" s="1640"/>
      <c r="AT203" s="1640"/>
      <c r="AU203" s="1640"/>
      <c r="AW203" s="1640"/>
      <c r="AX203" s="1640"/>
      <c r="AY203" s="1640"/>
      <c r="AZ203" s="1640"/>
      <c r="BA203" s="1640"/>
      <c r="BB203" s="1640"/>
      <c r="BC203" s="1640"/>
      <c r="BD203" s="1640"/>
      <c r="BE203" s="1640"/>
      <c r="BF203" s="1640"/>
      <c r="BG203" s="1640"/>
      <c r="BH203" s="1640"/>
      <c r="BI203" s="1640"/>
      <c r="BJ203" s="1640">
        <v>11</v>
      </c>
    </row>
    <row customHeight="1" ht="11.549999999999999">
      <c r="A204" s="999"/>
      <c r="B204" s="1640"/>
      <c r="D204" s="1640"/>
      <c r="J204" s="1644"/>
      <c r="K204" s="1644"/>
      <c r="L204" s="1644"/>
      <c r="M204" s="1644"/>
      <c r="N204" s="1644"/>
      <c r="O204" s="1644"/>
      <c r="P204" s="1644"/>
      <c r="Q204" s="1644"/>
      <c r="R204" s="1644"/>
      <c r="S204" s="1644"/>
      <c r="T204" s="1644"/>
      <c r="U204" s="1644"/>
      <c r="V204" s="1644"/>
      <c r="W204" s="1644"/>
      <c r="X204" s="1644"/>
      <c r="Y204" s="1644"/>
      <c r="Z204" s="1644"/>
      <c r="AA204" s="1644"/>
      <c r="AB204" s="1644"/>
      <c r="AC204" s="1644"/>
      <c r="AD204" s="1644"/>
      <c r="AE204" s="1644"/>
      <c r="AF204" s="1644"/>
      <c r="AG204" s="1644"/>
      <c r="AH204" s="1644"/>
      <c r="AI204" s="1644"/>
      <c r="AJ204" s="1644"/>
      <c r="AK204" s="1644"/>
      <c r="AL204" s="1644"/>
      <c r="AM204" s="1644"/>
      <c r="AO204" s="1640"/>
      <c r="AR204" s="1640"/>
      <c r="AS204" s="1640"/>
      <c r="AT204" s="1640"/>
      <c r="AU204" s="1640"/>
      <c r="AW204" s="1640"/>
      <c r="AX204" s="1640"/>
      <c r="AY204" s="1640"/>
      <c r="AZ204" s="1640"/>
      <c r="BA204" s="1640"/>
      <c r="BB204" s="1640"/>
      <c r="BC204" s="1640"/>
      <c r="BD204" s="1640"/>
      <c r="BE204" s="1640"/>
      <c r="BF204" s="1640"/>
      <c r="BG204" s="1640"/>
      <c r="BH204" s="1640"/>
      <c r="BI204" s="1640"/>
      <c r="BJ204" s="1640">
        <v>11</v>
      </c>
    </row>
    <row customHeight="1" ht="11.549999999999999">
      <c r="A205" s="999"/>
      <c r="B205" s="1640"/>
      <c r="D205" s="1640"/>
      <c r="J205" s="1644"/>
      <c r="K205" s="1644"/>
      <c r="L205" s="1644"/>
      <c r="M205" s="1644"/>
      <c r="N205" s="1644"/>
      <c r="O205" s="1644"/>
      <c r="P205" s="1644"/>
      <c r="Q205" s="1644"/>
      <c r="R205" s="1644"/>
      <c r="S205" s="1644"/>
      <c r="T205" s="1644"/>
      <c r="U205" s="1644"/>
      <c r="V205" s="1644"/>
      <c r="W205" s="1644"/>
      <c r="X205" s="1644"/>
      <c r="Y205" s="1644"/>
      <c r="Z205" s="1644"/>
      <c r="AA205" s="1644"/>
      <c r="AB205" s="1644"/>
      <c r="AC205" s="1644"/>
      <c r="AD205" s="1644"/>
      <c r="AE205" s="1644"/>
      <c r="AF205" s="1644"/>
      <c r="AG205" s="1644"/>
      <c r="AH205" s="1644"/>
      <c r="AI205" s="1644"/>
      <c r="AJ205" s="1644"/>
      <c r="AK205" s="1644"/>
      <c r="AL205" s="1644"/>
      <c r="AM205" s="1644"/>
      <c r="AO205" s="1640"/>
      <c r="AR205" s="1640"/>
      <c r="AS205" s="1640"/>
      <c r="AT205" s="1640"/>
      <c r="AU205" s="1640"/>
      <c r="AW205" s="1640"/>
      <c r="AX205" s="1640"/>
      <c r="AY205" s="1640"/>
      <c r="AZ205" s="1640"/>
      <c r="BA205" s="1640"/>
      <c r="BB205" s="1640"/>
      <c r="BC205" s="1640"/>
      <c r="BD205" s="1640"/>
      <c r="BE205" s="1640"/>
      <c r="BF205" s="1640"/>
      <c r="BG205" s="1640"/>
      <c r="BH205" s="1640"/>
      <c r="BI205" s="1640"/>
      <c r="BJ205" s="1640">
        <v>11</v>
      </c>
    </row>
    <row customHeight="1" ht="11.549999999999999">
      <c r="A206" s="999"/>
      <c r="B206" s="1640"/>
      <c r="D206" s="1640"/>
      <c r="J206" s="1644"/>
      <c r="K206" s="1644"/>
      <c r="L206" s="1644"/>
      <c r="M206" s="1644"/>
      <c r="N206" s="1644"/>
      <c r="O206" s="1644"/>
      <c r="P206" s="1644"/>
      <c r="Q206" s="1644"/>
      <c r="R206" s="1644"/>
      <c r="S206" s="1644"/>
      <c r="T206" s="1644"/>
      <c r="U206" s="1644"/>
      <c r="V206" s="1644"/>
      <c r="W206" s="1644"/>
      <c r="X206" s="1644"/>
      <c r="Y206" s="1644"/>
      <c r="Z206" s="1644"/>
      <c r="AA206" s="1644"/>
      <c r="AB206" s="1644"/>
      <c r="AC206" s="1644"/>
      <c r="AD206" s="1644"/>
      <c r="AE206" s="1644"/>
      <c r="AF206" s="1644"/>
      <c r="AG206" s="1644"/>
      <c r="AH206" s="1644"/>
      <c r="AI206" s="1644"/>
      <c r="AJ206" s="1644"/>
      <c r="AK206" s="1644"/>
      <c r="AL206" s="1644"/>
      <c r="AM206" s="1644"/>
      <c r="AO206" s="1640"/>
      <c r="AR206" s="1640"/>
      <c r="AS206" s="1640"/>
      <c r="AT206" s="1640"/>
      <c r="AU206" s="1640"/>
      <c r="AW206" s="1640"/>
      <c r="AX206" s="1640"/>
      <c r="AY206" s="1640"/>
      <c r="AZ206" s="1640"/>
      <c r="BA206" s="1640"/>
      <c r="BB206" s="1640"/>
      <c r="BC206" s="1640"/>
      <c r="BD206" s="1640"/>
      <c r="BE206" s="1640"/>
      <c r="BF206" s="1640"/>
      <c r="BG206" s="1640"/>
      <c r="BH206" s="1640"/>
      <c r="BI206" s="1640"/>
      <c r="BJ206" s="1640">
        <v>11</v>
      </c>
    </row>
    <row customHeight="1" ht="11.549999999999999">
      <c r="A207" s="999"/>
      <c r="B207" s="1640"/>
      <c r="D207" s="1640"/>
      <c r="J207" s="1644"/>
      <c r="K207" s="1644"/>
      <c r="L207" s="1644"/>
      <c r="M207" s="1644"/>
      <c r="N207" s="1644"/>
      <c r="O207" s="1644"/>
      <c r="P207" s="1644"/>
      <c r="Q207" s="1644"/>
      <c r="R207" s="1644"/>
      <c r="S207" s="1644"/>
      <c r="T207" s="1644"/>
      <c r="U207" s="1644"/>
      <c r="V207" s="1644"/>
      <c r="W207" s="1644"/>
      <c r="X207" s="1644"/>
      <c r="Y207" s="1644"/>
      <c r="Z207" s="1644"/>
      <c r="AA207" s="1644"/>
      <c r="AB207" s="1644"/>
      <c r="AC207" s="1644"/>
      <c r="AD207" s="1644"/>
      <c r="AE207" s="1644"/>
      <c r="AF207" s="1644"/>
      <c r="AG207" s="1644"/>
      <c r="AH207" s="1644"/>
      <c r="AI207" s="1644"/>
      <c r="AJ207" s="1644"/>
      <c r="AK207" s="1644"/>
      <c r="AL207" s="1644"/>
      <c r="AM207" s="1644"/>
      <c r="AO207" s="1640"/>
      <c r="AR207" s="1640"/>
      <c r="AS207" s="1640"/>
      <c r="AT207" s="1640"/>
      <c r="AU207" s="1640"/>
      <c r="AW207" s="1640"/>
      <c r="AX207" s="1640"/>
      <c r="AY207" s="1640"/>
      <c r="AZ207" s="1640"/>
      <c r="BA207" s="1640"/>
      <c r="BB207" s="1640"/>
      <c r="BC207" s="1640"/>
      <c r="BD207" s="1640"/>
      <c r="BE207" s="1640"/>
      <c r="BF207" s="1640"/>
      <c r="BG207" s="1640"/>
      <c r="BH207" s="1640"/>
      <c r="BI207" s="1640"/>
      <c r="BJ207" s="1640">
        <v>11</v>
      </c>
    </row>
    <row customHeight="1" ht="11.549999999999999">
      <c r="A208" s="999"/>
      <c r="B208" s="1640"/>
      <c r="D208" s="1640"/>
      <c r="J208" s="1644"/>
      <c r="K208" s="1644"/>
      <c r="L208" s="1644"/>
      <c r="M208" s="1644"/>
      <c r="N208" s="1644"/>
      <c r="O208" s="1644"/>
      <c r="P208" s="1644"/>
      <c r="Q208" s="1644"/>
      <c r="R208" s="1644"/>
      <c r="S208" s="1644"/>
      <c r="T208" s="1644"/>
      <c r="U208" s="1644"/>
      <c r="V208" s="1644"/>
      <c r="W208" s="1644"/>
      <c r="X208" s="1644"/>
      <c r="Y208" s="1644"/>
      <c r="Z208" s="1644"/>
      <c r="AA208" s="1644"/>
      <c r="AB208" s="1644"/>
      <c r="AC208" s="1644"/>
      <c r="AD208" s="1644"/>
      <c r="AE208" s="1644"/>
      <c r="AF208" s="1644"/>
      <c r="AG208" s="1644"/>
      <c r="AH208" s="1644"/>
      <c r="AI208" s="1644"/>
      <c r="AJ208" s="1644"/>
      <c r="AK208" s="1644"/>
      <c r="AL208" s="1644"/>
      <c r="AM208" s="1644"/>
      <c r="AO208" s="1640"/>
      <c r="AR208" s="1640"/>
      <c r="AS208" s="1640"/>
      <c r="AT208" s="1640"/>
      <c r="AU208" s="1640"/>
      <c r="AW208" s="1640"/>
      <c r="AX208" s="1640"/>
      <c r="AY208" s="1640"/>
      <c r="AZ208" s="1640"/>
      <c r="BA208" s="1640"/>
      <c r="BB208" s="1640"/>
      <c r="BC208" s="1640"/>
      <c r="BD208" s="1640"/>
      <c r="BE208" s="1640"/>
      <c r="BF208" s="1640"/>
      <c r="BG208" s="1640"/>
      <c r="BH208" s="1640"/>
      <c r="BI208" s="1640"/>
      <c r="BJ208" s="1640">
        <v>11</v>
      </c>
    </row>
    <row customHeight="1" ht="11.549999999999999">
      <c r="A209" s="999"/>
      <c r="B209" s="1640"/>
      <c r="D209" s="1640"/>
      <c r="J209" s="1644"/>
      <c r="K209" s="1644"/>
      <c r="L209" s="1644"/>
      <c r="M209" s="1644"/>
      <c r="N209" s="1644"/>
      <c r="O209" s="1644"/>
      <c r="P209" s="1644"/>
      <c r="Q209" s="1644"/>
      <c r="R209" s="1644"/>
      <c r="S209" s="1644"/>
      <c r="T209" s="1644"/>
      <c r="U209" s="1644"/>
      <c r="V209" s="1644"/>
      <c r="W209" s="1644"/>
      <c r="X209" s="1644"/>
      <c r="Y209" s="1644"/>
      <c r="Z209" s="1644"/>
      <c r="AA209" s="1644"/>
      <c r="AB209" s="1644"/>
      <c r="AC209" s="1644"/>
      <c r="AD209" s="1644"/>
      <c r="AE209" s="1644"/>
      <c r="AF209" s="1644"/>
      <c r="AG209" s="1644"/>
      <c r="AH209" s="1644"/>
      <c r="AI209" s="1644"/>
      <c r="AJ209" s="1644"/>
      <c r="AK209" s="1644"/>
      <c r="AL209" s="1644"/>
      <c r="AM209" s="1644"/>
      <c r="AO209" s="1640"/>
      <c r="AR209" s="1640"/>
      <c r="AS209" s="1640"/>
      <c r="AT209" s="1640"/>
      <c r="AU209" s="1640"/>
      <c r="AW209" s="1640"/>
      <c r="AX209" s="1640"/>
      <c r="AY209" s="1640"/>
      <c r="AZ209" s="1640"/>
      <c r="BA209" s="1640"/>
      <c r="BB209" s="1640"/>
      <c r="BC209" s="1640"/>
      <c r="BD209" s="1640"/>
      <c r="BE209" s="1640"/>
      <c r="BF209" s="1640"/>
      <c r="BG209" s="1640"/>
      <c r="BH209" s="1640"/>
      <c r="BI209" s="1640"/>
      <c r="BJ209" s="1640">
        <v>11</v>
      </c>
    </row>
    <row customHeight="1" ht="11.25" hidden="1">
      <c r="A210" s="996" t="s">
        <v>82</v>
      </c>
      <c r="B210" s="1169">
        <v>0</v>
      </c>
      <c r="C210" s="1645">
        <v>0</v>
      </c>
      <c r="D210" s="1644">
        <v>3</v>
      </c>
      <c r="E210" s="1640">
        <v>7</v>
      </c>
      <c r="F210" s="1640">
        <v>54</v>
      </c>
      <c r="G210" s="1640">
        <v>10</v>
      </c>
      <c r="H210" s="1640">
        <v>0</v>
      </c>
      <c r="I210" s="1640">
        <v>40</v>
      </c>
      <c r="J210" s="1644">
        <v>0</v>
      </c>
      <c r="K210" s="1644">
        <v>0</v>
      </c>
      <c r="L210" s="1644">
        <v>0</v>
      </c>
      <c r="M210" s="1644">
        <v>0</v>
      </c>
      <c r="N210" s="1644">
        <v>0</v>
      </c>
      <c r="O210" s="1644">
        <v>0</v>
      </c>
      <c r="P210" s="1644">
        <v>0</v>
      </c>
      <c r="Q210" s="1644">
        <v>0</v>
      </c>
      <c r="R210" s="1644">
        <v>0</v>
      </c>
      <c r="S210" s="1644">
        <v>0</v>
      </c>
      <c r="T210" s="1644">
        <v>0</v>
      </c>
      <c r="U210" s="1644">
        <v>0</v>
      </c>
      <c r="V210" s="1644">
        <v>0</v>
      </c>
      <c r="W210" s="1644">
        <v>0</v>
      </c>
      <c r="X210" s="1644">
        <v>0</v>
      </c>
      <c r="Y210" s="1644">
        <v>0</v>
      </c>
      <c r="Z210" s="1644">
        <v>0</v>
      </c>
      <c r="AA210" s="1644">
        <v>0</v>
      </c>
      <c r="AB210" s="1644">
        <v>0</v>
      </c>
      <c r="AC210" s="1644">
        <v>0</v>
      </c>
      <c r="AD210" s="1644">
        <v>0</v>
      </c>
      <c r="AE210" s="1644">
        <v>0</v>
      </c>
      <c r="AF210" s="1644">
        <v>0</v>
      </c>
      <c r="AG210" s="1644">
        <v>0</v>
      </c>
      <c r="AH210" s="1644">
        <v>0</v>
      </c>
      <c r="AI210" s="1644">
        <v>0</v>
      </c>
      <c r="AJ210" s="1644">
        <v>0</v>
      </c>
      <c r="AK210" s="1644">
        <v>0</v>
      </c>
      <c r="AL210" s="1644">
        <v>0</v>
      </c>
      <c r="AM210" s="1644">
        <v>0</v>
      </c>
      <c r="AN210" s="1640">
        <v>102</v>
      </c>
      <c r="AO210" s="1169">
        <v>9</v>
      </c>
      <c r="AP210" s="1645">
        <v>5</v>
      </c>
      <c r="AQ210" s="1645">
        <v>3</v>
      </c>
      <c r="AR210" s="1169">
        <v>3</v>
      </c>
      <c r="AS210" s="1169">
        <v>3</v>
      </c>
      <c r="AT210" s="1169">
        <v>3</v>
      </c>
      <c r="AU210" s="1169">
        <v>3</v>
      </c>
      <c r="AV210" s="1645">
        <v>10</v>
      </c>
      <c r="AW210" s="1169">
        <v>34</v>
      </c>
      <c r="AX210" s="1169">
        <v>9</v>
      </c>
      <c r="AY210" s="553">
        <v>8</v>
      </c>
      <c r="AZ210" s="1169">
        <v>8</v>
      </c>
      <c r="BA210" s="1169">
        <v>8</v>
      </c>
      <c r="BB210" s="1169">
        <v>8</v>
      </c>
      <c r="BC210" s="1169">
        <v>8</v>
      </c>
      <c r="BD210" s="1169">
        <v>8</v>
      </c>
      <c r="BE210" s="1641">
        <v>8</v>
      </c>
      <c r="BF210" s="1641">
        <v>8</v>
      </c>
      <c r="BG210" s="1641">
        <v>8</v>
      </c>
      <c r="BH210" s="1641">
        <v>8</v>
      </c>
      <c r="BI210" s="1641">
        <v>8</v>
      </c>
      <c r="BJ210" s="1640">
        <v>11</v>
      </c>
    </row>
  </sheetData>
  <sheetProtection formatColumns="0" formatRows="0" autoFilter="0" sort="0" insertRows="0" insertColumns="1" deleteRows="0" deleteColumns="0"/>
  <mergeCells count="9">
    <mergeCell ref="F40:G40"/>
    <mergeCell ref="E6:I6"/>
    <mergeCell ref="E7:I7"/>
    <mergeCell ref="F10:G10"/>
    <mergeCell ref="AN10:AN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AM34">
      <formula1>-9.99999999999999E+37</formula1>
      <formula2>9.99999999999999E+37</formula2>
    </dataValidation>
    <dataValidation type="decimal" allowBlank="1" showErrorMessage="1" errorTitle="Ошибка" error="Допускается ввод только действительных чисел!" sqref="H30:AM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AM35">
      <formula1>900</formula1>
    </dataValidation>
    <dataValidation type="decimal" allowBlank="1" showErrorMessage="1" errorTitle="Ошибка" error="Допускается ввод только неотрицательных чисел!" sqref="H31:AM31 H2:AM2 H15:AM15 H17:AM27 H36:A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AM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374153-698B-8652-9D13-0.922A450A}" mc:Ignorable="x14ac xr xr2 xr3">
  <sheetPr>
    <tabColor theme="9" tint="-0.25"/>
  </sheetPr>
  <dimension ref="A1:CF102"/>
  <sheetViews>
    <sheetView topLeftCell="A1" showGridLines="0" zoomScale="90" workbookViewId="0">
      <selection activeCell="BS1" sqref="BS1:BT102"/>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70" style="1644" width="44.00390625" customWidth="1"/>
    <col min="71" max="71" style="1644" width="73.00390625" customWidth="1"/>
    <col min="72" max="72" style="1644" width="3.00390625" customWidth="1"/>
    <col min="73" max="83" style="1644" width="10.00390625" customWidth="1"/>
    <col min="84" max="84" style="1644" width="10.57421875" hidden="1"/>
  </cols>
  <sheetData>
    <row s="1375" customFormat="1" customHeight="1" ht="22.5" hidden="1">
      <c r="A1" s="545"/>
      <c r="B1" s="520"/>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M1" s="1375">
        <v>4</v>
      </c>
      <c r="AN1" s="1375"/>
      <c r="AO1" s="1375">
        <v>4</v>
      </c>
      <c r="AP1" s="1375"/>
      <c r="AQ1" s="1375">
        <v>4</v>
      </c>
      <c r="AR1" s="1375"/>
      <c r="AS1" s="1375">
        <v>4</v>
      </c>
      <c r="AT1" s="1375"/>
      <c r="AU1" s="1375">
        <v>4</v>
      </c>
      <c r="AV1" s="1375"/>
      <c r="AW1" s="1375">
        <v>4</v>
      </c>
      <c r="AX1" s="1375"/>
      <c r="AY1" s="1375">
        <v>4</v>
      </c>
      <c r="AZ1" s="1375"/>
      <c r="BA1" s="1375">
        <v>4</v>
      </c>
      <c r="BB1" s="1375"/>
      <c r="BC1" s="1375">
        <v>4</v>
      </c>
      <c r="BD1" s="1375"/>
      <c r="BE1" s="1375">
        <v>4</v>
      </c>
      <c r="BF1" s="1375"/>
      <c r="BG1" s="1375">
        <v>4</v>
      </c>
      <c r="BH1" s="1375"/>
      <c r="BI1" s="1375">
        <v>4</v>
      </c>
      <c r="BJ1" s="1375"/>
      <c r="BK1" s="1375">
        <v>4</v>
      </c>
      <c r="BL1" s="1375"/>
      <c r="BM1" s="1375">
        <v>4</v>
      </c>
      <c r="BN1" s="1375"/>
      <c r="BO1" s="1375">
        <v>4</v>
      </c>
      <c r="BP1" s="1375"/>
      <c r="BQ1" s="1375">
        <v>4</v>
      </c>
      <c r="BR1" s="1375"/>
      <c r="BS1" s="426" t="s">
        <v>91</v>
      </c>
      <c r="CF1" s="426" t="s">
        <v>14</v>
      </c>
    </row>
    <row customHeight="1" ht="3">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c r="AO2" s="1644"/>
      <c r="AP2" s="1644"/>
      <c r="AQ2" s="1644"/>
      <c r="AR2" s="1644"/>
      <c r="AS2" s="1644"/>
      <c r="AT2" s="1644"/>
      <c r="AU2" s="1644"/>
      <c r="AV2" s="1644"/>
      <c r="AW2" s="1644"/>
      <c r="AX2" s="1644"/>
      <c r="AY2" s="1644"/>
      <c r="AZ2" s="1644"/>
      <c r="BA2" s="1644"/>
      <c r="BB2" s="1644"/>
      <c r="BC2" s="1644"/>
      <c r="BD2" s="1644"/>
      <c r="BE2" s="1644"/>
      <c r="BF2" s="1644"/>
      <c r="BG2" s="1644"/>
      <c r="BH2" s="1644"/>
      <c r="BI2" s="1644"/>
      <c r="BJ2" s="1644"/>
      <c r="BK2" s="1644"/>
      <c r="BL2" s="1644"/>
      <c r="BM2" s="1644"/>
      <c r="BN2" s="1644"/>
      <c r="BO2" s="1644"/>
      <c r="BP2" s="1644"/>
      <c r="BQ2" s="1644"/>
      <c r="BR2" s="1644"/>
      <c r="CF2" s="514">
        <v>3</v>
      </c>
    </row>
    <row customHeight="1" ht="78.75">
      <c r="D3"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8"/>
      <c r="F3" s="2249"/>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M3" s="1644"/>
      <c r="AN3" s="1644"/>
      <c r="AO3" s="1644"/>
      <c r="AP3" s="1644"/>
      <c r="AQ3" s="1644"/>
      <c r="AR3" s="1644"/>
      <c r="AS3" s="1644"/>
      <c r="AT3" s="1644"/>
      <c r="AU3" s="1644"/>
      <c r="AV3" s="1644"/>
      <c r="AW3" s="1644"/>
      <c r="AX3" s="1644"/>
      <c r="AY3" s="1644"/>
      <c r="AZ3" s="1644"/>
      <c r="BA3" s="1644"/>
      <c r="BB3" s="1644"/>
      <c r="BC3" s="1644"/>
      <c r="BD3" s="1644"/>
      <c r="BE3" s="1644"/>
      <c r="BF3" s="1644"/>
      <c r="BG3" s="1644"/>
      <c r="BH3" s="1644"/>
      <c r="BI3" s="1644"/>
      <c r="BJ3" s="1644"/>
      <c r="BK3" s="1644"/>
      <c r="BL3" s="1644"/>
      <c r="BM3" s="1644"/>
      <c r="BN3" s="1644"/>
      <c r="BO3" s="1644"/>
      <c r="BP3" s="1644"/>
      <c r="BQ3" s="1644"/>
      <c r="BR3" s="1644"/>
      <c r="CF3" s="514">
        <v>75</v>
      </c>
    </row>
    <row s="1644" customFormat="1" customHeight="1" ht="21">
      <c r="A4" s="960"/>
      <c r="B4" s="520"/>
      <c r="D4" s="2223" t="str">
        <f>IF(org=0,"Не определено",org)</f>
        <v>ООО "СамРЭК-Тепло Жигулевск"</v>
      </c>
      <c r="E4" s="2224"/>
      <c r="F4" s="2225"/>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M4" s="1644"/>
      <c r="AN4" s="1644"/>
      <c r="AO4" s="1644"/>
      <c r="AP4" s="1644"/>
      <c r="AQ4" s="1644"/>
      <c r="AR4" s="1644"/>
      <c r="AS4" s="1644"/>
      <c r="AT4" s="1644"/>
      <c r="AU4" s="1644"/>
      <c r="AV4" s="1644"/>
      <c r="AW4" s="1644"/>
      <c r="AX4" s="1644"/>
      <c r="AY4" s="1644"/>
      <c r="AZ4" s="1644"/>
      <c r="BA4" s="1644"/>
      <c r="BB4" s="1644"/>
      <c r="BC4" s="1644"/>
      <c r="BD4" s="1644"/>
      <c r="BE4" s="1644"/>
      <c r="BF4" s="1644"/>
      <c r="BG4" s="1644"/>
      <c r="BH4" s="1644"/>
      <c r="BI4" s="1644"/>
      <c r="BJ4" s="1644"/>
      <c r="BK4" s="1644"/>
      <c r="BL4" s="1644"/>
      <c r="BM4" s="1644"/>
      <c r="BN4" s="1644"/>
      <c r="BO4" s="1644"/>
      <c r="BP4" s="1644"/>
      <c r="BQ4" s="1644"/>
      <c r="BR4" s="1644"/>
      <c r="CF4" s="767">
        <v>20</v>
      </c>
    </row>
    <row customHeight="1" ht="11.549999999999999">
      <c r="C5" s="518"/>
      <c r="D5" s="597"/>
      <c r="E5" s="597"/>
      <c r="F5" s="597"/>
      <c r="G5" s="597"/>
      <c r="H5" s="761"/>
      <c r="I5" s="597"/>
      <c r="J5" s="761"/>
      <c r="K5" s="1644"/>
      <c r="L5" s="761"/>
      <c r="M5" s="1644"/>
      <c r="N5" s="761"/>
      <c r="O5" s="1644"/>
      <c r="P5" s="761"/>
      <c r="Q5" s="1644"/>
      <c r="R5" s="761"/>
      <c r="S5" s="1644"/>
      <c r="T5" s="761"/>
      <c r="U5" s="1644"/>
      <c r="V5" s="761"/>
      <c r="W5" s="1644"/>
      <c r="X5" s="761"/>
      <c r="Y5" s="1644"/>
      <c r="Z5" s="761"/>
      <c r="AA5" s="1644"/>
      <c r="AB5" s="761"/>
      <c r="AC5" s="1644"/>
      <c r="AD5" s="761"/>
      <c r="AE5" s="1644"/>
      <c r="AF5" s="761"/>
      <c r="AG5" s="1644"/>
      <c r="AH5" s="761"/>
      <c r="AI5" s="1644"/>
      <c r="AJ5" s="761"/>
      <c r="AK5" s="1644"/>
      <c r="AL5" s="761"/>
      <c r="AM5" s="1644"/>
      <c r="AN5" s="761"/>
      <c r="AO5" s="1644"/>
      <c r="AP5" s="761"/>
      <c r="AQ5" s="1644"/>
      <c r="AR5" s="761"/>
      <c r="AS5" s="1644"/>
      <c r="AT5" s="761"/>
      <c r="AU5" s="1644"/>
      <c r="AV5" s="761"/>
      <c r="AW5" s="1644"/>
      <c r="AX5" s="761"/>
      <c r="AY5" s="1644"/>
      <c r="AZ5" s="761"/>
      <c r="BA5" s="1644"/>
      <c r="BB5" s="761"/>
      <c r="BC5" s="1644"/>
      <c r="BD5" s="761"/>
      <c r="BE5" s="1644"/>
      <c r="BF5" s="761"/>
      <c r="BG5" s="1644"/>
      <c r="BH5" s="761"/>
      <c r="BI5" s="1644"/>
      <c r="BJ5" s="761"/>
      <c r="BK5" s="1644"/>
      <c r="BL5" s="761"/>
      <c r="BM5" s="1644"/>
      <c r="BN5" s="761"/>
      <c r="BO5" s="1644"/>
      <c r="BP5" s="761"/>
      <c r="BQ5" s="1644"/>
      <c r="BR5" s="761"/>
      <c r="BS5" s="597"/>
      <c r="CF5" s="514">
        <v>11</v>
      </c>
    </row>
    <row customHeight="1" ht="1.05">
      <c r="C6" s="518"/>
      <c r="D6" s="518"/>
      <c r="E6" s="531"/>
      <c r="F6" s="623"/>
      <c r="G6" s="1031"/>
      <c r="H6" s="1031"/>
      <c r="I6" s="1031" t="s">
        <v>118</v>
      </c>
      <c r="J6" s="1031"/>
      <c r="K6" s="1031" t="s">
        <v>123</v>
      </c>
      <c r="L6" s="1031"/>
      <c r="M6" s="1031" t="s">
        <v>125</v>
      </c>
      <c r="N6" s="1031"/>
      <c r="O6" s="1031" t="s">
        <v>127</v>
      </c>
      <c r="P6" s="1031"/>
      <c r="Q6" s="1031" t="s">
        <v>129</v>
      </c>
      <c r="R6" s="1031"/>
      <c r="S6" s="1031" t="s">
        <v>131</v>
      </c>
      <c r="T6" s="1031"/>
      <c r="U6" s="1031" t="s">
        <v>133</v>
      </c>
      <c r="V6" s="1031"/>
      <c r="W6" s="1031" t="s">
        <v>135</v>
      </c>
      <c r="X6" s="1031"/>
      <c r="Y6" s="1031" t="s">
        <v>138</v>
      </c>
      <c r="Z6" s="1031"/>
      <c r="AA6" s="1031" t="s">
        <v>141</v>
      </c>
      <c r="AB6" s="1031"/>
      <c r="AC6" s="1031" t="s">
        <v>144</v>
      </c>
      <c r="AD6" s="1031"/>
      <c r="AE6" s="1031" t="s">
        <v>147</v>
      </c>
      <c r="AF6" s="1031"/>
      <c r="AG6" s="1031" t="s">
        <v>150</v>
      </c>
      <c r="AH6" s="1031"/>
      <c r="AI6" s="1031" t="s">
        <v>153</v>
      </c>
      <c r="AJ6" s="1031"/>
      <c r="AK6" s="1031" t="s">
        <v>156</v>
      </c>
      <c r="AL6" s="1031"/>
      <c r="AM6" s="1031" t="s">
        <v>159</v>
      </c>
      <c r="AN6" s="1031"/>
      <c r="AO6" s="1031" t="s">
        <v>162</v>
      </c>
      <c r="AP6" s="1031"/>
      <c r="AQ6" s="1031" t="s">
        <v>165</v>
      </c>
      <c r="AR6" s="1031"/>
      <c r="AS6" s="1031" t="s">
        <v>168</v>
      </c>
      <c r="AT6" s="1031"/>
      <c r="AU6" s="1031" t="s">
        <v>171</v>
      </c>
      <c r="AV6" s="1031"/>
      <c r="AW6" s="1031" t="s">
        <v>174</v>
      </c>
      <c r="AX6" s="1031"/>
      <c r="AY6" s="1031" t="s">
        <v>177</v>
      </c>
      <c r="AZ6" s="1031"/>
      <c r="BA6" s="1031" t="s">
        <v>180</v>
      </c>
      <c r="BB6" s="1031"/>
      <c r="BC6" s="1031" t="s">
        <v>183</v>
      </c>
      <c r="BD6" s="1031"/>
      <c r="BE6" s="1031" t="s">
        <v>186</v>
      </c>
      <c r="BF6" s="1031"/>
      <c r="BG6" s="1031" t="s">
        <v>189</v>
      </c>
      <c r="BH6" s="1031"/>
      <c r="BI6" s="1031" t="s">
        <v>192</v>
      </c>
      <c r="BJ6" s="1031"/>
      <c r="BK6" s="1031" t="s">
        <v>195</v>
      </c>
      <c r="BL6" s="1031"/>
      <c r="BM6" s="1031" t="s">
        <v>198</v>
      </c>
      <c r="BN6" s="1031"/>
      <c r="BO6" s="1031" t="s">
        <v>200</v>
      </c>
      <c r="BP6" s="1031"/>
      <c r="BQ6" s="1031" t="s">
        <v>201</v>
      </c>
      <c r="BR6" s="1031"/>
      <c r="CF6" s="514">
        <v>1</v>
      </c>
    </row>
    <row customHeight="1" ht="11.549999999999999">
      <c r="D7" s="720"/>
      <c r="E7" s="2376" t="s">
        <v>105</v>
      </c>
      <c r="F7" s="2377"/>
      <c r="G7" s="2402" t="str">
        <f>IF(G6="","",INDEX(DIFFERENTIATION_UNMERGE_VD,MATCH(G6,DIFFERENTIATION_ID_DIFF,0)))</f>
        <v/>
      </c>
      <c r="H7" s="2403"/>
      <c r="I7" s="2402" t="str">
        <f>IF(I6="","",INDEX(DIFFERENTIATION_UNMERGE_VD,MATCH(I6,DIFFERENTIATION_ID_DIFF,0)))</f>
        <v>Производство тепловой энергии. Некомбинированная выработка</v>
      </c>
      <c r="J7" s="2403"/>
      <c r="K7" s="2402" t="str">
        <f>IF(K6="","",INDEX(DIFFERENTIATION_UNMERGE_VD,MATCH(K6,DIFFERENTIATION_ID_DIFF,0)))</f>
        <v>Производство тепловой энергии. Некомбинированная выработка</v>
      </c>
      <c r="L7" s="2403"/>
      <c r="M7" s="2402" t="str">
        <f>IF(M6="","",INDEX(DIFFERENTIATION_UNMERGE_VD,MATCH(M6,DIFFERENTIATION_ID_DIFF,0)))</f>
        <v>Производство тепловой энергии. Некомбинированная выработка</v>
      </c>
      <c r="N7" s="2403"/>
      <c r="O7" s="2402" t="str">
        <f>IF(O6="","",INDEX(DIFFERENTIATION_UNMERGE_VD,MATCH(O6,DIFFERENTIATION_ID_DIFF,0)))</f>
        <v>Производство тепловой энергии. Некомбинированная выработка</v>
      </c>
      <c r="P7" s="2403"/>
      <c r="Q7" s="2402" t="str">
        <f>IF(Q6="","",INDEX(DIFFERENTIATION_UNMERGE_VD,MATCH(Q6,DIFFERENTIATION_ID_DIFF,0)))</f>
        <v>Производство тепловой энергии. Некомбинированная выработка</v>
      </c>
      <c r="R7" s="2403"/>
      <c r="S7" s="2402" t="str">
        <f>IF(S6="","",INDEX(DIFFERENTIATION_UNMERGE_VD,MATCH(S6,DIFFERENTIATION_ID_DIFF,0)))</f>
        <v>Производство тепловой энергии. Некомбинированная выработка</v>
      </c>
      <c r="T7" s="2403"/>
      <c r="U7" s="2402" t="str">
        <f>IF(U6="","",INDEX(DIFFERENTIATION_UNMERGE_VD,MATCH(U6,DIFFERENTIATION_ID_DIFF,0)))</f>
        <v>Производство тепловой энергии. Некомбинированная выработка</v>
      </c>
      <c r="V7" s="2403"/>
      <c r="W7" s="2402" t="str">
        <f>IF(W6="","",INDEX(DIFFERENTIATION_UNMERGE_VD,MATCH(W6,DIFFERENTIATION_ID_DIFF,0)))</f>
        <v>Производство тепловой энергии. Некомбинированная выработка</v>
      </c>
      <c r="X7" s="2403"/>
      <c r="Y7" s="2402" t="str">
        <f>IF(Y6="","",INDEX(DIFFERENTIATION_UNMERGE_VD,MATCH(Y6,DIFFERENTIATION_ID_DIFF,0)))</f>
        <v>Производство тепловой энергии. Некомбинированная выработка</v>
      </c>
      <c r="Z7" s="2403"/>
      <c r="AA7" s="2402" t="str">
        <f>IF(AA6="","",INDEX(DIFFERENTIATION_UNMERGE_VD,MATCH(AA6,DIFFERENTIATION_ID_DIFF,0)))</f>
        <v>Производство тепловой энергии. Некомбинированная выработка</v>
      </c>
      <c r="AB7" s="2403"/>
      <c r="AC7" s="2402" t="str">
        <f>IF(AC6="","",INDEX(DIFFERENTIATION_UNMERGE_VD,MATCH(AC6,DIFFERENTIATION_ID_DIFF,0)))</f>
        <v>Производство тепловой энергии. Некомбинированная выработка</v>
      </c>
      <c r="AD7" s="2403"/>
      <c r="AE7" s="2402" t="str">
        <f>IF(AE6="","",INDEX(DIFFERENTIATION_UNMERGE_VD,MATCH(AE6,DIFFERENTIATION_ID_DIFF,0)))</f>
        <v>Производство тепловой энергии. Некомбинированная выработка</v>
      </c>
      <c r="AF7" s="2403"/>
      <c r="AG7" s="2402" t="str">
        <f>IF(AG6="","",INDEX(DIFFERENTIATION_UNMERGE_VD,MATCH(AG6,DIFFERENTIATION_ID_DIFF,0)))</f>
        <v>Производство тепловой энергии. Некомбинированная выработка</v>
      </c>
      <c r="AH7" s="2403"/>
      <c r="AI7" s="2402" t="str">
        <f>IF(AI6="","",INDEX(DIFFERENTIATION_UNMERGE_VD,MATCH(AI6,DIFFERENTIATION_ID_DIFF,0)))</f>
        <v>Производство тепловой энергии. Некомбинированная выработка</v>
      </c>
      <c r="AJ7" s="2403"/>
      <c r="AK7" s="2402" t="str">
        <f>IF(AK6="","",INDEX(DIFFERENTIATION_UNMERGE_VD,MATCH(AK6,DIFFERENTIATION_ID_DIFF,0)))</f>
        <v>Производство тепловой энергии. Некомбинированная выработка</v>
      </c>
      <c r="AL7" s="2403"/>
      <c r="AM7" s="2402" t="str">
        <f>IF(AM6="","",INDEX(DIFFERENTIATION_UNMERGE_VD,MATCH(AM6,DIFFERENTIATION_ID_DIFF,0)))</f>
        <v>Производство тепловой энергии. Некомбинированная выработка</v>
      </c>
      <c r="AN7" s="2403"/>
      <c r="AO7" s="2402" t="str">
        <f>IF(AO6="","",INDEX(DIFFERENTIATION_UNMERGE_VD,MATCH(AO6,DIFFERENTIATION_ID_DIFF,0)))</f>
        <v>Производство тепловой энергии. Некомбинированная выработка</v>
      </c>
      <c r="AP7" s="2403"/>
      <c r="AQ7" s="2402" t="str">
        <f>IF(AQ6="","",INDEX(DIFFERENTIATION_UNMERGE_VD,MATCH(AQ6,DIFFERENTIATION_ID_DIFF,0)))</f>
        <v>Производство тепловой энергии. Некомбинированная выработка</v>
      </c>
      <c r="AR7" s="2403"/>
      <c r="AS7" s="2402" t="str">
        <f>IF(AS6="","",INDEX(DIFFERENTIATION_UNMERGE_VD,MATCH(AS6,DIFFERENTIATION_ID_DIFF,0)))</f>
        <v>Производство тепловой энергии. Некомбинированная выработка</v>
      </c>
      <c r="AT7" s="2403"/>
      <c r="AU7" s="2402" t="str">
        <f>IF(AU6="","",INDEX(DIFFERENTIATION_UNMERGE_VD,MATCH(AU6,DIFFERENTIATION_ID_DIFF,0)))</f>
        <v>Производство тепловой энергии. Некомбинированная выработка</v>
      </c>
      <c r="AV7" s="2403"/>
      <c r="AW7" s="2402" t="str">
        <f>IF(AW6="","",INDEX(DIFFERENTIATION_UNMERGE_VD,MATCH(AW6,DIFFERENTIATION_ID_DIFF,0)))</f>
        <v>Производство тепловой энергии. Некомбинированная выработка</v>
      </c>
      <c r="AX7" s="2403"/>
      <c r="AY7" s="2402" t="str">
        <f>IF(AY6="","",INDEX(DIFFERENTIATION_UNMERGE_VD,MATCH(AY6,DIFFERENTIATION_ID_DIFF,0)))</f>
        <v>Производство тепловой энергии. Некомбинированная выработка</v>
      </c>
      <c r="AZ7" s="2403"/>
      <c r="BA7" s="2402" t="str">
        <f>IF(BA6="","",INDEX(DIFFERENTIATION_UNMERGE_VD,MATCH(BA6,DIFFERENTIATION_ID_DIFF,0)))</f>
        <v>Производство тепловой энергии. Некомбинированная выработка</v>
      </c>
      <c r="BB7" s="2403"/>
      <c r="BC7" s="2402" t="str">
        <f>IF(BC6="","",INDEX(DIFFERENTIATION_UNMERGE_VD,MATCH(BC6,DIFFERENTIATION_ID_DIFF,0)))</f>
        <v>Производство тепловой энергии. Некомбинированная выработка</v>
      </c>
      <c r="BD7" s="2403"/>
      <c r="BE7" s="2402" t="str">
        <f>IF(BE6="","",INDEX(DIFFERENTIATION_UNMERGE_VD,MATCH(BE6,DIFFERENTIATION_ID_DIFF,0)))</f>
        <v>Производство тепловой энергии. Некомбинированная выработка</v>
      </c>
      <c r="BF7" s="2403"/>
      <c r="BG7" s="2402" t="str">
        <f>IF(BG6="","",INDEX(DIFFERENTIATION_UNMERGE_VD,MATCH(BG6,DIFFERENTIATION_ID_DIFF,0)))</f>
        <v>Производство тепловой энергии. Некомбинированная выработка</v>
      </c>
      <c r="BH7" s="2403"/>
      <c r="BI7" s="2402" t="str">
        <f>IF(BI6="","",INDEX(DIFFERENTIATION_UNMERGE_VD,MATCH(BI6,DIFFERENTIATION_ID_DIFF,0)))</f>
        <v>Производство тепловой энергии. Некомбинированная выработка</v>
      </c>
      <c r="BJ7" s="2403"/>
      <c r="BK7" s="2402" t="str">
        <f>IF(BK6="","",INDEX(DIFFERENTIATION_UNMERGE_VD,MATCH(BK6,DIFFERENTIATION_ID_DIFF,0)))</f>
        <v>Производство тепловой энергии. Некомбинированная выработка</v>
      </c>
      <c r="BL7" s="2403"/>
      <c r="BM7" s="2402" t="str">
        <f>IF(BM6="","",INDEX(DIFFERENTIATION_UNMERGE_VD,MATCH(BM6,DIFFERENTIATION_ID_DIFF,0)))</f>
        <v>Производство. Теплоноситель</v>
      </c>
      <c r="BN7" s="2403"/>
      <c r="BO7" s="2402" t="str">
        <f>IF(BO6="","",INDEX(DIFFERENTIATION_UNMERGE_VD,MATCH(BO6,DIFFERENTIATION_ID_DIFF,0)))</f>
        <v>Производство. Теплоноситель</v>
      </c>
      <c r="BP7" s="2403"/>
      <c r="BQ7" s="2402" t="str">
        <f>IF(BQ6="","",INDEX(DIFFERENTIATION_UNMERGE_VD,MATCH(BQ6,DIFFERENTIATION_ID_DIFF,0)))</f>
        <v>Производство. Теплоноситель</v>
      </c>
      <c r="BR7" s="2403"/>
      <c r="BS7" s="2184"/>
      <c r="BT7" s="518"/>
      <c r="CF7" s="514">
        <v>11</v>
      </c>
    </row>
    <row customHeight="1" ht="11.549999999999999">
      <c r="A8" s="713"/>
      <c r="D8" s="720"/>
      <c r="E8" s="2376" t="s">
        <v>637</v>
      </c>
      <c r="F8" s="2377"/>
      <c r="G8" s="2402" t="str">
        <f>IF(G6="","",INDEX(DIFFERENTIATION_UNMERGE_AREA,MATCH(G6,DIFFERENTIATION_ID_DIFF,0)))</f>
        <v/>
      </c>
      <c r="H8" s="2403"/>
      <c r="I8" s="2402" t="str">
        <f>IF(I6="","",INDEX(DIFFERENTIATION_UNMERGE_AREA,MATCH(I6,DIFFERENTIATION_ID_DIFF,0)))</f>
        <v>Территория 1</v>
      </c>
      <c r="J8" s="2403"/>
      <c r="K8" s="2402" t="str">
        <f>IF(K6="","",INDEX(DIFFERENTIATION_UNMERGE_AREA,MATCH(K6,DIFFERENTIATION_ID_DIFF,0)))</f>
        <v>Территория 1</v>
      </c>
      <c r="L8" s="2403"/>
      <c r="M8" s="2402" t="str">
        <f>IF(M6="","",INDEX(DIFFERENTIATION_UNMERGE_AREA,MATCH(M6,DIFFERENTIATION_ID_DIFF,0)))</f>
        <v>Территория 1</v>
      </c>
      <c r="N8" s="2403"/>
      <c r="O8" s="2402" t="str">
        <f>IF(O6="","",INDEX(DIFFERENTIATION_UNMERGE_AREA,MATCH(O6,DIFFERENTIATION_ID_DIFF,0)))</f>
        <v>Территория 1</v>
      </c>
      <c r="P8" s="2403"/>
      <c r="Q8" s="2402" t="str">
        <f>IF(Q6="","",INDEX(DIFFERENTIATION_UNMERGE_AREA,MATCH(Q6,DIFFERENTIATION_ID_DIFF,0)))</f>
        <v>Территория 1</v>
      </c>
      <c r="R8" s="2403"/>
      <c r="S8" s="2402" t="str">
        <f>IF(S6="","",INDEX(DIFFERENTIATION_UNMERGE_AREA,MATCH(S6,DIFFERENTIATION_ID_DIFF,0)))</f>
        <v>Территория 1</v>
      </c>
      <c r="T8" s="2403"/>
      <c r="U8" s="2402" t="str">
        <f>IF(U6="","",INDEX(DIFFERENTIATION_UNMERGE_AREA,MATCH(U6,DIFFERENTIATION_ID_DIFF,0)))</f>
        <v>Территория 1</v>
      </c>
      <c r="V8" s="2403"/>
      <c r="W8" s="2402" t="str">
        <f>IF(W6="","",INDEX(DIFFERENTIATION_UNMERGE_AREA,MATCH(W6,DIFFERENTIATION_ID_DIFF,0)))</f>
        <v>Территория 1</v>
      </c>
      <c r="X8" s="2403"/>
      <c r="Y8" s="2402" t="str">
        <f>IF(Y6="","",INDEX(DIFFERENTIATION_UNMERGE_AREA,MATCH(Y6,DIFFERENTIATION_ID_DIFF,0)))</f>
        <v>Территория 1</v>
      </c>
      <c r="Z8" s="2403"/>
      <c r="AA8" s="2402" t="str">
        <f>IF(AA6="","",INDEX(DIFFERENTIATION_UNMERGE_AREA,MATCH(AA6,DIFFERENTIATION_ID_DIFF,0)))</f>
        <v>Территория 1</v>
      </c>
      <c r="AB8" s="2403"/>
      <c r="AC8" s="2402" t="str">
        <f>IF(AC6="","",INDEX(DIFFERENTIATION_UNMERGE_AREA,MATCH(AC6,DIFFERENTIATION_ID_DIFF,0)))</f>
        <v>Территория 1</v>
      </c>
      <c r="AD8" s="2403"/>
      <c r="AE8" s="2402" t="str">
        <f>IF(AE6="","",INDEX(DIFFERENTIATION_UNMERGE_AREA,MATCH(AE6,DIFFERENTIATION_ID_DIFF,0)))</f>
        <v>Территория 1</v>
      </c>
      <c r="AF8" s="2403"/>
      <c r="AG8" s="2402" t="str">
        <f>IF(AG6="","",INDEX(DIFFERENTIATION_UNMERGE_AREA,MATCH(AG6,DIFFERENTIATION_ID_DIFF,0)))</f>
        <v>Территория 1</v>
      </c>
      <c r="AH8" s="2403"/>
      <c r="AI8" s="2402" t="str">
        <f>IF(AI6="","",INDEX(DIFFERENTIATION_UNMERGE_AREA,MATCH(AI6,DIFFERENTIATION_ID_DIFF,0)))</f>
        <v>Территория 1</v>
      </c>
      <c r="AJ8" s="2403"/>
      <c r="AK8" s="2402" t="str">
        <f>IF(AK6="","",INDEX(DIFFERENTIATION_UNMERGE_AREA,MATCH(AK6,DIFFERENTIATION_ID_DIFF,0)))</f>
        <v>Территория 1</v>
      </c>
      <c r="AL8" s="2403"/>
      <c r="AM8" s="2402" t="str">
        <f>IF(AM6="","",INDEX(DIFFERENTIATION_UNMERGE_AREA,MATCH(AM6,DIFFERENTIATION_ID_DIFF,0)))</f>
        <v>Территория 1</v>
      </c>
      <c r="AN8" s="2403"/>
      <c r="AO8" s="2402" t="str">
        <f>IF(AO6="","",INDEX(DIFFERENTIATION_UNMERGE_AREA,MATCH(AO6,DIFFERENTIATION_ID_DIFF,0)))</f>
        <v>Территория 1</v>
      </c>
      <c r="AP8" s="2403"/>
      <c r="AQ8" s="2402" t="str">
        <f>IF(AQ6="","",INDEX(DIFFERENTIATION_UNMERGE_AREA,MATCH(AQ6,DIFFERENTIATION_ID_DIFF,0)))</f>
        <v>Территория 1</v>
      </c>
      <c r="AR8" s="2403"/>
      <c r="AS8" s="2402" t="str">
        <f>IF(AS6="","",INDEX(DIFFERENTIATION_UNMERGE_AREA,MATCH(AS6,DIFFERENTIATION_ID_DIFF,0)))</f>
        <v>Территория 1</v>
      </c>
      <c r="AT8" s="2403"/>
      <c r="AU8" s="2402" t="str">
        <f>IF(AU6="","",INDEX(DIFFERENTIATION_UNMERGE_AREA,MATCH(AU6,DIFFERENTIATION_ID_DIFF,0)))</f>
        <v>Территория 1</v>
      </c>
      <c r="AV8" s="2403"/>
      <c r="AW8" s="2402" t="str">
        <f>IF(AW6="","",INDEX(DIFFERENTIATION_UNMERGE_AREA,MATCH(AW6,DIFFERENTIATION_ID_DIFF,0)))</f>
        <v>Территория 1</v>
      </c>
      <c r="AX8" s="2403"/>
      <c r="AY8" s="2402" t="str">
        <f>IF(AY6="","",INDEX(DIFFERENTIATION_UNMERGE_AREA,MATCH(AY6,DIFFERENTIATION_ID_DIFF,0)))</f>
        <v>Территория 1</v>
      </c>
      <c r="AZ8" s="2403"/>
      <c r="BA8" s="2402" t="str">
        <f>IF(BA6="","",INDEX(DIFFERENTIATION_UNMERGE_AREA,MATCH(BA6,DIFFERENTIATION_ID_DIFF,0)))</f>
        <v>Территория 1</v>
      </c>
      <c r="BB8" s="2403"/>
      <c r="BC8" s="2402" t="str">
        <f>IF(BC6="","",INDEX(DIFFERENTIATION_UNMERGE_AREA,MATCH(BC6,DIFFERENTIATION_ID_DIFF,0)))</f>
        <v>Территория 1</v>
      </c>
      <c r="BD8" s="2403"/>
      <c r="BE8" s="2402" t="str">
        <f>IF(BE6="","",INDEX(DIFFERENTIATION_UNMERGE_AREA,MATCH(BE6,DIFFERENTIATION_ID_DIFF,0)))</f>
        <v>Территория 1</v>
      </c>
      <c r="BF8" s="2403"/>
      <c r="BG8" s="2402" t="str">
        <f>IF(BG6="","",INDEX(DIFFERENTIATION_UNMERGE_AREA,MATCH(BG6,DIFFERENTIATION_ID_DIFF,0)))</f>
        <v>Территория 1</v>
      </c>
      <c r="BH8" s="2403"/>
      <c r="BI8" s="2402" t="str">
        <f>IF(BI6="","",INDEX(DIFFERENTIATION_UNMERGE_AREA,MATCH(BI6,DIFFERENTIATION_ID_DIFF,0)))</f>
        <v>Территория 1</v>
      </c>
      <c r="BJ8" s="2403"/>
      <c r="BK8" s="2402" t="str">
        <f>IF(BK6="","",INDEX(DIFFERENTIATION_UNMERGE_AREA,MATCH(BK6,DIFFERENTIATION_ID_DIFF,0)))</f>
        <v>Территория 1</v>
      </c>
      <c r="BL8" s="2403"/>
      <c r="BM8" s="2402" t="str">
        <f>IF(BM6="","",INDEX(DIFFERENTIATION_UNMERGE_AREA,MATCH(BM6,DIFFERENTIATION_ID_DIFF,0)))</f>
        <v>Территория 1</v>
      </c>
      <c r="BN8" s="2403"/>
      <c r="BO8" s="2402" t="str">
        <f>IF(BO6="","",INDEX(DIFFERENTIATION_UNMERGE_AREA,MATCH(BO6,DIFFERENTIATION_ID_DIFF,0)))</f>
        <v>Территория 1</v>
      </c>
      <c r="BP8" s="2403"/>
      <c r="BQ8" s="2402" t="str">
        <f>IF(BQ6="","",INDEX(DIFFERENTIATION_UNMERGE_AREA,MATCH(BQ6,DIFFERENTIATION_ID_DIFF,0)))</f>
        <v>Территория 1</v>
      </c>
      <c r="BR8" s="2403"/>
      <c r="BS8" s="2208"/>
      <c r="BT8" s="518"/>
      <c r="CF8" s="514">
        <v>11</v>
      </c>
    </row>
    <row customHeight="1" ht="11.549999999999999">
      <c r="A9" s="713"/>
      <c r="D9" s="720"/>
      <c r="E9" s="2376" t="s">
        <v>638</v>
      </c>
      <c r="F9" s="2377"/>
      <c r="G9" s="2402" t="str">
        <f>IF(G6="","",INDEX(DIFFERENTIATION_UNMERGE_SYSTEM,MATCH(G6,DIFFERENTIATION_ID_DIFF,0)))</f>
        <v/>
      </c>
      <c r="H9" s="2403"/>
      <c r="I9" s="2402" t="str">
        <f>IF(I6="","",INDEX(DIFFERENTIATION_UNMERGE_SYSTEM,MATCH(I6,DIFFERENTIATION_ID_DIFF,0)))</f>
        <v>Котельная №1 по ул.Ново-Самарская, д.12</v>
      </c>
      <c r="J9" s="2403"/>
      <c r="K9" s="2402" t="str">
        <f>IF(K6="","",INDEX(DIFFERENTIATION_UNMERGE_SYSTEM,MATCH(K6,DIFFERENTIATION_ID_DIFF,0)))</f>
        <v>Котельная №2,  ул.Пирогова около д.4</v>
      </c>
      <c r="L9" s="2403"/>
      <c r="M9" s="2402" t="str">
        <f>IF(M6="","",INDEX(DIFFERENTIATION_UNMERGE_SYSTEM,MATCH(M6,DIFFERENTIATION_ID_DIFF,0)))</f>
        <v>Котельная №3, ул.Комсомольская около д.1 по ул.Ленина</v>
      </c>
      <c r="N9" s="2403"/>
      <c r="O9" s="2402" t="str">
        <f>IF(O6="","",INDEX(DIFFERENTIATION_UNMERGE_SYSTEM,MATCH(O6,DIFFERENTIATION_ID_DIFF,0)))</f>
        <v>Тепловой центр №1 ул.Вокзальная ок д.№8</v>
      </c>
      <c r="P9" s="2403"/>
      <c r="Q9" s="2402" t="str">
        <f>IF(Q6="","",INDEX(DIFFERENTIATION_UNMERGE_SYSTEM,MATCH(Q6,DIFFERENTIATION_ID_DIFF,0)))</f>
        <v>Котельная №5, Александр. Поле, около д.30 по ул.Советская </v>
      </c>
      <c r="R9" s="2403"/>
      <c r="S9" s="2402" t="str">
        <f>IF(S6="","",INDEX(DIFFERENTIATION_UNMERGE_SYSTEM,MATCH(S6,DIFFERENTIATION_ID_DIFF,0)))</f>
        <v>Котельная №6, ул.Пушкина </v>
      </c>
      <c r="T9" s="2403"/>
      <c r="U9" s="2402" t="str">
        <f>IF(U6="","",INDEX(DIFFERENTIATION_UNMERGE_SYSTEM,MATCH(U6,DIFFERENTIATION_ID_DIFF,0)))</f>
        <v>Тепловой центр №2 ул.Вокзальная ок д.№20</v>
      </c>
      <c r="V9" s="2403"/>
      <c r="W9" s="2402" t="str">
        <f>IF(W6="","",INDEX(DIFFERENTIATION_UNMERGE_SYSTEM,MATCH(W6,DIFFERENTIATION_ID_DIFF,0)))</f>
        <v>Котельная №8, ул.Мира</v>
      </c>
      <c r="X9" s="2403"/>
      <c r="Y9" s="2402" t="str">
        <f>IF(Y6="","",INDEX(DIFFERENTIATION_UNMERGE_SYSTEM,MATCH(Y6,DIFFERENTIATION_ID_DIFF,0)))</f>
        <v>Котельная №9, ул.Гоголя</v>
      </c>
      <c r="Z9" s="2403"/>
      <c r="AA9" s="2402" t="str">
        <f>IF(AA6="","",INDEX(DIFFERENTIATION_UNMERGE_SYSTEM,MATCH(AA6,DIFFERENTIATION_ID_DIFF,0)))</f>
        <v>Котельная №10, ул.Гоголя</v>
      </c>
      <c r="AB9" s="2403"/>
      <c r="AC9" s="2402" t="str">
        <f>IF(AC6="","",INDEX(DIFFERENTIATION_UNMERGE_SYSTEM,MATCH(AC6,DIFFERENTIATION_ID_DIFF,0)))</f>
        <v>Котельная №12а, ул.Мира</v>
      </c>
      <c r="AD9" s="2403"/>
      <c r="AE9" s="2402" t="str">
        <f>IF(AE6="","",INDEX(DIFFERENTIATION_UNMERGE_SYSTEM,MATCH(AE6,DIFFERENTIATION_ID_DIFF,0)))</f>
        <v>Котельная №13, ул.Морквашинская</v>
      </c>
      <c r="AF9" s="2403"/>
      <c r="AG9" s="2402" t="str">
        <f>IF(AG6="","",INDEX(DIFFERENTIATION_UNMERGE_SYSTEM,MATCH(AG6,DIFFERENTIATION_ID_DIFF,0)))</f>
        <v>ЦТП-1 ул.Морквашинская ок.д№7</v>
      </c>
      <c r="AH9" s="2403"/>
      <c r="AI9" s="2402" t="str">
        <f>IF(AI6="","",INDEX(DIFFERENTIATION_UNMERGE_SYSTEM,MATCH(AI6,DIFFERENTIATION_ID_DIFF,0)))</f>
        <v>ЦТП-2, В-1,ок.д.№10</v>
      </c>
      <c r="AJ9" s="2403"/>
      <c r="AK9" s="2402" t="str">
        <f>IF(AK6="","",INDEX(DIFFERENTIATION_UNMERGE_SYSTEM,MATCH(AK6,DIFFERENTIATION_ID_DIFF,0)))</f>
        <v>ЦТП-9, ул.Пролетарская д.23/ул.Транспортная д.10</v>
      </c>
      <c r="AL9" s="2403"/>
      <c r="AM9" s="2402" t="str">
        <f>IF(AM6="","",INDEX(DIFFERENTIATION_UNMERGE_SYSTEM,MATCH(AM6,DIFFERENTIATION_ID_DIFF,0)))</f>
        <v>ПНС№1-  Пролет, 5</v>
      </c>
      <c r="AN9" s="2403"/>
      <c r="AO9" s="2402" t="str">
        <f>IF(AO6="","",INDEX(DIFFERENTIATION_UNMERGE_SYSTEM,MATCH(AO6,DIFFERENTIATION_ID_DIFF,0)))</f>
        <v>ПНС№2, ул.Репина,3</v>
      </c>
      <c r="AP9" s="2403"/>
      <c r="AQ9" s="2402" t="str">
        <f>IF(AQ6="","",INDEX(DIFFERENTIATION_UNMERGE_SYSTEM,MATCH(AQ6,DIFFERENTIATION_ID_DIFF,0)))</f>
        <v>Котельная №14, ул.Радиозаводская</v>
      </c>
      <c r="AR9" s="2403"/>
      <c r="AS9" s="2402" t="str">
        <f>IF(AS6="","",INDEX(DIFFERENTIATION_UNMERGE_SYSTEM,MATCH(AS6,DIFFERENTIATION_ID_DIFF,0)))</f>
        <v>ЦТП-3, ул.Радиозаводская,ок.д.№6</v>
      </c>
      <c r="AT9" s="2403"/>
      <c r="AU9" s="2402" t="str">
        <f>IF(AU6="","",INDEX(DIFFERENTIATION_UNMERGE_SYSTEM,MATCH(AU6,DIFFERENTIATION_ID_DIFF,0)))</f>
        <v>Котельная №17а с.Зольное , ул.Первомайская.</v>
      </c>
      <c r="AV9" s="2403"/>
      <c r="AW9" s="2402" t="str">
        <f>IF(AW6="","",INDEX(DIFFERENTIATION_UNMERGE_SYSTEM,MATCH(AW6,DIFFERENTIATION_ID_DIFF,0)))</f>
        <v>Котельная №18А, с.Солнечная Поляна, ул. 4-я Линия</v>
      </c>
      <c r="AX9" s="2403"/>
      <c r="AY9" s="2402" t="str">
        <f>IF(AY6="","",INDEX(DIFFERENTIATION_UNMERGE_SYSTEM,MATCH(AY6,DIFFERENTIATION_ID_DIFF,0)))</f>
        <v>Котельная №20,пос.Яблоневый Овраг , ул Никитина</v>
      </c>
      <c r="AZ9" s="2403"/>
      <c r="BA9" s="2402" t="str">
        <f>IF(BA6="","",INDEX(DIFFERENTIATION_UNMERGE_SYSTEM,MATCH(BA6,DIFFERENTIATION_ID_DIFF,0)))</f>
        <v>Котельная №22, ул.Магистральная</v>
      </c>
      <c r="BB9" s="2403"/>
      <c r="BC9" s="2402" t="str">
        <f>IF(BC6="","",INDEX(DIFFERENTIATION_UNMERGE_SYSTEM,MATCH(BC6,DIFFERENTIATION_ID_DIFF,0)))</f>
        <v>Котельная №25,  МКР Г-1, ул.Гидротехническая</v>
      </c>
      <c r="BD9" s="2403"/>
      <c r="BE9" s="2402" t="str">
        <f>IF(BE6="","",INDEX(DIFFERENTIATION_UNMERGE_SYSTEM,MATCH(BE6,DIFFERENTIATION_ID_DIFF,0)))</f>
        <v>ЦТП-7, ул.Оборонная</v>
      </c>
      <c r="BF9" s="2403"/>
      <c r="BG9" s="2402" t="str">
        <f>IF(BG6="","",INDEX(DIFFERENTIATION_UNMERGE_SYSTEM,MATCH(BG6,DIFFERENTIATION_ID_DIFF,0)))</f>
        <v>ЦТП-8, ул.Шевченко</v>
      </c>
      <c r="BH9" s="2403"/>
      <c r="BI9" s="2402" t="str">
        <f>IF(BI6="","",INDEX(DIFFERENTIATION_UNMERGE_SYSTEM,MATCH(BI6,DIFFERENTIATION_ID_DIFF,0)))</f>
        <v>ПНС, ул.Парковая</v>
      </c>
      <c r="BJ9" s="2403"/>
      <c r="BK9" s="2402" t="str">
        <f>IF(BK6="","",INDEX(DIFFERENTIATION_UNMERGE_SYSTEM,MATCH(BK6,DIFFERENTIATION_ID_DIFF,0)))</f>
        <v>Котельная №27, п.Богатырь, ул.Управленческая</v>
      </c>
      <c r="BL9" s="2403"/>
      <c r="BM9" s="2402" t="str">
        <f>IF(BM6="","",INDEX(DIFFERENTIATION_UNMERGE_SYSTEM,MATCH(BM6,DIFFERENTIATION_ID_DIFF,0)))</f>
        <v>Котельная №13, ул.Морквашинская</v>
      </c>
      <c r="BN9" s="2403"/>
      <c r="BO9" s="2402" t="str">
        <f>IF(BO6="","",INDEX(DIFFERENTIATION_UNMERGE_SYSTEM,MATCH(BO6,DIFFERENTIATION_ID_DIFF,0)))</f>
        <v>Котельная №14, ул.Радиозаводская</v>
      </c>
      <c r="BP9" s="2403"/>
      <c r="BQ9" s="2402" t="str">
        <f>IF(BQ6="","",INDEX(DIFFERENTIATION_UNMERGE_SYSTEM,MATCH(BQ6,DIFFERENTIATION_ID_DIFF,0)))</f>
        <v>Котельная №25,  МКР Г-1, ул.Гидротехническая</v>
      </c>
      <c r="BR9" s="2403"/>
      <c r="BS9" s="2208"/>
      <c r="BT9" s="518"/>
      <c r="CF9" s="514">
        <v>11</v>
      </c>
    </row>
    <row s="1644" customFormat="1" customHeight="1" ht="11.549999999999999">
      <c r="A10" s="1030"/>
      <c r="B10" s="520"/>
      <c r="D10" s="2110" t="s">
        <v>373</v>
      </c>
      <c r="E10" s="2111"/>
      <c r="F10" s="2111"/>
      <c r="G10" s="2111"/>
      <c r="H10" s="2111"/>
      <c r="I10" s="2111"/>
      <c r="J10" s="2112"/>
      <c r="K10" s="2278"/>
      <c r="L10" s="2278"/>
      <c r="M10" s="2278"/>
      <c r="N10" s="2278"/>
      <c r="O10" s="2278"/>
      <c r="P10" s="2278"/>
      <c r="Q10" s="2278"/>
      <c r="R10" s="2278"/>
      <c r="S10" s="2278"/>
      <c r="T10" s="2278"/>
      <c r="U10" s="2278"/>
      <c r="V10" s="2278"/>
      <c r="W10" s="2278"/>
      <c r="X10" s="2278"/>
      <c r="Y10" s="2278"/>
      <c r="Z10" s="2278"/>
      <c r="AA10" s="2278"/>
      <c r="AB10" s="2278"/>
      <c r="AC10" s="2278"/>
      <c r="AD10" s="2278"/>
      <c r="AE10" s="2278"/>
      <c r="AF10" s="2278"/>
      <c r="AG10" s="2278"/>
      <c r="AH10" s="2278"/>
      <c r="AI10" s="2278"/>
      <c r="AJ10" s="2278"/>
      <c r="AK10" s="2278"/>
      <c r="AL10" s="2278"/>
      <c r="AM10" s="2278"/>
      <c r="AN10" s="2278"/>
      <c r="AO10" s="2278"/>
      <c r="AP10" s="2278"/>
      <c r="AQ10" s="2278"/>
      <c r="AR10" s="2278"/>
      <c r="AS10" s="2278"/>
      <c r="AT10" s="2278"/>
      <c r="AU10" s="2278"/>
      <c r="AV10" s="2278"/>
      <c r="AW10" s="2278"/>
      <c r="AX10" s="2278"/>
      <c r="AY10" s="2278"/>
      <c r="AZ10" s="2278"/>
      <c r="BA10" s="2278"/>
      <c r="BB10" s="2278"/>
      <c r="BC10" s="2278"/>
      <c r="BD10" s="2278"/>
      <c r="BE10" s="2278"/>
      <c r="BF10" s="2278"/>
      <c r="BG10" s="2278"/>
      <c r="BH10" s="2278"/>
      <c r="BI10" s="2278"/>
      <c r="BJ10" s="2278"/>
      <c r="BK10" s="2278"/>
      <c r="BL10" s="2278"/>
      <c r="BM10" s="2278"/>
      <c r="BN10" s="2278"/>
      <c r="BO10" s="2278"/>
      <c r="BP10" s="2278"/>
      <c r="BQ10" s="2278"/>
      <c r="BR10" s="2278"/>
      <c r="BS10" s="2208"/>
      <c r="BT10" s="518"/>
      <c r="CF10" s="767">
        <v>11</v>
      </c>
    </row>
    <row s="1644" customFormat="1" customHeight="1" ht="24">
      <c r="A11" s="2394"/>
      <c r="B11" s="2394"/>
      <c r="C11" s="666"/>
      <c r="D11" s="712" t="s">
        <v>88</v>
      </c>
      <c r="E11" s="714" t="s">
        <v>909</v>
      </c>
      <c r="F11" s="714" t="s">
        <v>639</v>
      </c>
      <c r="G11" s="474" t="s">
        <v>376</v>
      </c>
      <c r="H11" s="474" t="s">
        <v>463</v>
      </c>
      <c r="I11" s="816" t="s">
        <v>376</v>
      </c>
      <c r="J11" s="817" t="s">
        <v>463</v>
      </c>
      <c r="K11" s="2321" t="s">
        <v>376</v>
      </c>
      <c r="L11" s="2321" t="s">
        <v>463</v>
      </c>
      <c r="M11" s="2321" t="s">
        <v>376</v>
      </c>
      <c r="N11" s="2321" t="s">
        <v>463</v>
      </c>
      <c r="O11" s="2321" t="s">
        <v>376</v>
      </c>
      <c r="P11" s="2321" t="s">
        <v>463</v>
      </c>
      <c r="Q11" s="2321" t="s">
        <v>376</v>
      </c>
      <c r="R11" s="2321" t="s">
        <v>463</v>
      </c>
      <c r="S11" s="2321" t="s">
        <v>376</v>
      </c>
      <c r="T11" s="2321" t="s">
        <v>463</v>
      </c>
      <c r="U11" s="2321" t="s">
        <v>376</v>
      </c>
      <c r="V11" s="2321" t="s">
        <v>463</v>
      </c>
      <c r="W11" s="2321" t="s">
        <v>376</v>
      </c>
      <c r="X11" s="2321" t="s">
        <v>463</v>
      </c>
      <c r="Y11" s="2321" t="s">
        <v>376</v>
      </c>
      <c r="Z11" s="2321" t="s">
        <v>463</v>
      </c>
      <c r="AA11" s="2321" t="s">
        <v>376</v>
      </c>
      <c r="AB11" s="2321" t="s">
        <v>463</v>
      </c>
      <c r="AC11" s="2321" t="s">
        <v>376</v>
      </c>
      <c r="AD11" s="2321" t="s">
        <v>463</v>
      </c>
      <c r="AE11" s="2321" t="s">
        <v>376</v>
      </c>
      <c r="AF11" s="2321" t="s">
        <v>463</v>
      </c>
      <c r="AG11" s="2321" t="s">
        <v>376</v>
      </c>
      <c r="AH11" s="2321" t="s">
        <v>463</v>
      </c>
      <c r="AI11" s="2321" t="s">
        <v>376</v>
      </c>
      <c r="AJ11" s="2321" t="s">
        <v>463</v>
      </c>
      <c r="AK11" s="2321" t="s">
        <v>376</v>
      </c>
      <c r="AL11" s="2321" t="s">
        <v>463</v>
      </c>
      <c r="AM11" s="2321" t="s">
        <v>376</v>
      </c>
      <c r="AN11" s="2321" t="s">
        <v>463</v>
      </c>
      <c r="AO11" s="2321" t="s">
        <v>376</v>
      </c>
      <c r="AP11" s="2321" t="s">
        <v>463</v>
      </c>
      <c r="AQ11" s="2321" t="s">
        <v>376</v>
      </c>
      <c r="AR11" s="2321" t="s">
        <v>463</v>
      </c>
      <c r="AS11" s="2321" t="s">
        <v>376</v>
      </c>
      <c r="AT11" s="2321" t="s">
        <v>463</v>
      </c>
      <c r="AU11" s="2321" t="s">
        <v>376</v>
      </c>
      <c r="AV11" s="2321" t="s">
        <v>463</v>
      </c>
      <c r="AW11" s="2321" t="s">
        <v>376</v>
      </c>
      <c r="AX11" s="2321" t="s">
        <v>463</v>
      </c>
      <c r="AY11" s="2321" t="s">
        <v>376</v>
      </c>
      <c r="AZ11" s="2321" t="s">
        <v>463</v>
      </c>
      <c r="BA11" s="2321" t="s">
        <v>376</v>
      </c>
      <c r="BB11" s="2321" t="s">
        <v>463</v>
      </c>
      <c r="BC11" s="2321" t="s">
        <v>376</v>
      </c>
      <c r="BD11" s="2321" t="s">
        <v>463</v>
      </c>
      <c r="BE11" s="2321" t="s">
        <v>376</v>
      </c>
      <c r="BF11" s="2321" t="s">
        <v>463</v>
      </c>
      <c r="BG11" s="2321" t="s">
        <v>376</v>
      </c>
      <c r="BH11" s="2321" t="s">
        <v>463</v>
      </c>
      <c r="BI11" s="2321" t="s">
        <v>376</v>
      </c>
      <c r="BJ11" s="2321" t="s">
        <v>463</v>
      </c>
      <c r="BK11" s="2321" t="s">
        <v>376</v>
      </c>
      <c r="BL11" s="2321" t="s">
        <v>463</v>
      </c>
      <c r="BM11" s="2375" t="s">
        <v>376</v>
      </c>
      <c r="BN11" s="2375" t="s">
        <v>463</v>
      </c>
      <c r="BO11" s="2375" t="s">
        <v>376</v>
      </c>
      <c r="BP11" s="2375" t="s">
        <v>463</v>
      </c>
      <c r="BQ11" s="2375" t="s">
        <v>376</v>
      </c>
      <c r="BR11" s="2375" t="s">
        <v>463</v>
      </c>
      <c r="BS11" s="2241"/>
      <c r="BT11" s="667"/>
      <c r="CF11" s="518">
        <v>23</v>
      </c>
    </row>
    <row s="1651" customFormat="1" customHeight="1" ht="10.5">
      <c r="A12" s="961"/>
      <c r="D12" s="1034" t="s">
        <v>109</v>
      </c>
      <c r="E12" s="1034" t="s">
        <v>110</v>
      </c>
      <c r="F12" s="1034" t="s">
        <v>90</v>
      </c>
      <c r="G12" s="1035" t="str">
        <f>G1&amp;".1"</f>
        <v>4.1</v>
      </c>
      <c r="H12" s="1035" t="str">
        <f>G1&amp;".2"</f>
        <v>4.2</v>
      </c>
      <c r="I12" s="1035" t="str">
        <f>I1&amp;".1"</f>
        <v>4.1</v>
      </c>
      <c r="J12" s="1035" t="str">
        <f>I1&amp;".2"</f>
        <v>4.2</v>
      </c>
      <c r="K12" s="2383" t="str">
        <f>K1&amp;".1"</f>
        <v>4.1</v>
      </c>
      <c r="L12" s="2383" t="str">
        <f>K1&amp;".2"</f>
        <v>4.2</v>
      </c>
      <c r="M12" s="2383" t="str">
        <f>M1&amp;".1"</f>
        <v>4.1</v>
      </c>
      <c r="N12" s="2383" t="str">
        <f>M1&amp;".2"</f>
        <v>4.2</v>
      </c>
      <c r="O12" s="2383" t="str">
        <f>O1&amp;".1"</f>
        <v>4.1</v>
      </c>
      <c r="P12" s="2383" t="str">
        <f>O1&amp;".2"</f>
        <v>4.2</v>
      </c>
      <c r="Q12" s="2383" t="str">
        <f>Q1&amp;".1"</f>
        <v>4.1</v>
      </c>
      <c r="R12" s="2383" t="str">
        <f>Q1&amp;".2"</f>
        <v>4.2</v>
      </c>
      <c r="S12" s="2383" t="str">
        <f>S1&amp;".1"</f>
        <v>4.1</v>
      </c>
      <c r="T12" s="2383" t="str">
        <f>S1&amp;".2"</f>
        <v>4.2</v>
      </c>
      <c r="U12" s="2383" t="str">
        <f>U1&amp;".1"</f>
        <v>4.1</v>
      </c>
      <c r="V12" s="2383" t="str">
        <f>U1&amp;".2"</f>
        <v>4.2</v>
      </c>
      <c r="W12" s="2383" t="str">
        <f>W1&amp;".1"</f>
        <v>4.1</v>
      </c>
      <c r="X12" s="2383" t="str">
        <f>W1&amp;".2"</f>
        <v>4.2</v>
      </c>
      <c r="Y12" s="2383" t="str">
        <f>Y1&amp;".1"</f>
        <v>4.1</v>
      </c>
      <c r="Z12" s="2383" t="str">
        <f>Y1&amp;".2"</f>
        <v>4.2</v>
      </c>
      <c r="AA12" s="2383" t="str">
        <f>AA1&amp;".1"</f>
        <v>4.1</v>
      </c>
      <c r="AB12" s="2383" t="str">
        <f>AA1&amp;".2"</f>
        <v>4.2</v>
      </c>
      <c r="AC12" s="2383" t="str">
        <f>AC1&amp;".1"</f>
        <v>4.1</v>
      </c>
      <c r="AD12" s="2383" t="str">
        <f>AC1&amp;".2"</f>
        <v>4.2</v>
      </c>
      <c r="AE12" s="2383" t="str">
        <f>AE1&amp;".1"</f>
        <v>4.1</v>
      </c>
      <c r="AF12" s="2383" t="str">
        <f>AE1&amp;".2"</f>
        <v>4.2</v>
      </c>
      <c r="AG12" s="2383" t="str">
        <f>AG1&amp;".1"</f>
        <v>4.1</v>
      </c>
      <c r="AH12" s="2383" t="str">
        <f>AG1&amp;".2"</f>
        <v>4.2</v>
      </c>
      <c r="AI12" s="2383" t="str">
        <f>AI1&amp;".1"</f>
        <v>4.1</v>
      </c>
      <c r="AJ12" s="2383" t="str">
        <f>AI1&amp;".2"</f>
        <v>4.2</v>
      </c>
      <c r="AK12" s="2383" t="str">
        <f>AK1&amp;".1"</f>
        <v>4.1</v>
      </c>
      <c r="AL12" s="2383" t="str">
        <f>AK1&amp;".2"</f>
        <v>4.2</v>
      </c>
      <c r="AM12" s="2383" t="str">
        <f>AM1&amp;".1"</f>
        <v>4.1</v>
      </c>
      <c r="AN12" s="2383" t="str">
        <f>AM1&amp;".2"</f>
        <v>4.2</v>
      </c>
      <c r="AO12" s="2383" t="str">
        <f>AO1&amp;".1"</f>
        <v>4.1</v>
      </c>
      <c r="AP12" s="2383" t="str">
        <f>AO1&amp;".2"</f>
        <v>4.2</v>
      </c>
      <c r="AQ12" s="2383" t="str">
        <f>AQ1&amp;".1"</f>
        <v>4.1</v>
      </c>
      <c r="AR12" s="2383" t="str">
        <f>AQ1&amp;".2"</f>
        <v>4.2</v>
      </c>
      <c r="AS12" s="2383" t="str">
        <f>AS1&amp;".1"</f>
        <v>4.1</v>
      </c>
      <c r="AT12" s="2383" t="str">
        <f>AS1&amp;".2"</f>
        <v>4.2</v>
      </c>
      <c r="AU12" s="2383" t="str">
        <f>AU1&amp;".1"</f>
        <v>4.1</v>
      </c>
      <c r="AV12" s="2383" t="str">
        <f>AU1&amp;".2"</f>
        <v>4.2</v>
      </c>
      <c r="AW12" s="2383" t="str">
        <f>AW1&amp;".1"</f>
        <v>4.1</v>
      </c>
      <c r="AX12" s="2383" t="str">
        <f>AW1&amp;".2"</f>
        <v>4.2</v>
      </c>
      <c r="AY12" s="2383" t="str">
        <f>AY1&amp;".1"</f>
        <v>4.1</v>
      </c>
      <c r="AZ12" s="2383" t="str">
        <f>AY1&amp;".2"</f>
        <v>4.2</v>
      </c>
      <c r="BA12" s="2383" t="str">
        <f>BA1&amp;".1"</f>
        <v>4.1</v>
      </c>
      <c r="BB12" s="2383" t="str">
        <f>BA1&amp;".2"</f>
        <v>4.2</v>
      </c>
      <c r="BC12" s="2383" t="str">
        <f>BC1&amp;".1"</f>
        <v>4.1</v>
      </c>
      <c r="BD12" s="2383" t="str">
        <f>BC1&amp;".2"</f>
        <v>4.2</v>
      </c>
      <c r="BE12" s="2383" t="str">
        <f>BE1&amp;".1"</f>
        <v>4.1</v>
      </c>
      <c r="BF12" s="2383" t="str">
        <f>BE1&amp;".2"</f>
        <v>4.2</v>
      </c>
      <c r="BG12" s="2383" t="str">
        <f>BG1&amp;".1"</f>
        <v>4.1</v>
      </c>
      <c r="BH12" s="2383" t="str">
        <f>BG1&amp;".2"</f>
        <v>4.2</v>
      </c>
      <c r="BI12" s="2383" t="str">
        <f>BI1&amp;".1"</f>
        <v>4.1</v>
      </c>
      <c r="BJ12" s="2383" t="str">
        <f>BI1&amp;".2"</f>
        <v>4.2</v>
      </c>
      <c r="BK12" s="2383" t="str">
        <f>BK1&amp;".1"</f>
        <v>4.1</v>
      </c>
      <c r="BL12" s="2383" t="str">
        <f>BK1&amp;".2"</f>
        <v>4.2</v>
      </c>
      <c r="BM12" s="2383" t="str">
        <f>BM1&amp;".1"</f>
        <v>4.1</v>
      </c>
      <c r="BN12" s="2383" t="str">
        <f>BM1&amp;".2"</f>
        <v>4.2</v>
      </c>
      <c r="BO12" s="2383" t="str">
        <f>BO1&amp;".1"</f>
        <v>4.1</v>
      </c>
      <c r="BP12" s="2383" t="str">
        <f>BO1&amp;".2"</f>
        <v>4.2</v>
      </c>
      <c r="BQ12" s="2383" t="str">
        <f>BQ1&amp;".1"</f>
        <v>4.1</v>
      </c>
      <c r="BR12" s="2383" t="str">
        <f>BQ1&amp;".2"</f>
        <v>4.2</v>
      </c>
      <c r="BS12" s="1035"/>
      <c r="CF12" s="520">
        <v>10</v>
      </c>
    </row>
    <row customHeight="1" ht="22.5">
      <c r="A13" s="2401" t="s">
        <v>910</v>
      </c>
      <c r="D13" s="962" t="s">
        <v>109</v>
      </c>
      <c r="E13" s="288" t="s">
        <v>911</v>
      </c>
      <c r="F13" s="669" t="s">
        <v>912</v>
      </c>
      <c r="G13" s="566"/>
      <c r="H13" s="670"/>
      <c r="I13" s="566"/>
      <c r="J13" s="670"/>
      <c r="K13" s="566"/>
      <c r="L13" s="671"/>
      <c r="M13" s="566"/>
      <c r="N13" s="671"/>
      <c r="O13" s="566"/>
      <c r="P13" s="671"/>
      <c r="Q13" s="566"/>
      <c r="R13" s="671"/>
      <c r="S13" s="566"/>
      <c r="T13" s="671"/>
      <c r="U13" s="566"/>
      <c r="V13" s="671"/>
      <c r="W13" s="566"/>
      <c r="X13" s="671"/>
      <c r="Y13" s="566"/>
      <c r="Z13" s="671"/>
      <c r="AA13" s="566"/>
      <c r="AB13" s="671"/>
      <c r="AC13" s="566"/>
      <c r="AD13" s="671"/>
      <c r="AE13" s="566"/>
      <c r="AF13" s="671"/>
      <c r="AG13" s="566"/>
      <c r="AH13" s="671"/>
      <c r="AI13" s="566"/>
      <c r="AJ13" s="671"/>
      <c r="AK13" s="566"/>
      <c r="AL13" s="671"/>
      <c r="AM13" s="566"/>
      <c r="AN13" s="671"/>
      <c r="AO13" s="566"/>
      <c r="AP13" s="671"/>
      <c r="AQ13" s="566"/>
      <c r="AR13" s="671"/>
      <c r="AS13" s="566"/>
      <c r="AT13" s="671"/>
      <c r="AU13" s="566"/>
      <c r="AV13" s="671"/>
      <c r="AW13" s="566"/>
      <c r="AX13" s="671"/>
      <c r="AY13" s="566"/>
      <c r="AZ13" s="671"/>
      <c r="BA13" s="566"/>
      <c r="BB13" s="671"/>
      <c r="BC13" s="566"/>
      <c r="BD13" s="671"/>
      <c r="BE13" s="566"/>
      <c r="BF13" s="671"/>
      <c r="BG13" s="566"/>
      <c r="BH13" s="671"/>
      <c r="BI13" s="566"/>
      <c r="BJ13" s="671"/>
      <c r="BK13" s="566"/>
      <c r="BL13" s="671"/>
      <c r="BM13" s="566"/>
      <c r="BN13" s="671"/>
      <c r="BO13" s="566"/>
      <c r="BP13" s="671"/>
      <c r="BQ13" s="566"/>
      <c r="BR13" s="671"/>
      <c r="BS13" s="298" t="s">
        <v>913</v>
      </c>
      <c r="BT13" s="729"/>
      <c r="CF13" s="514">
        <v>0</v>
      </c>
    </row>
    <row customHeight="1" ht="22.5">
      <c r="A14" s="2401"/>
      <c r="D14" s="548" t="s">
        <v>110</v>
      </c>
      <c r="E14" s="288" t="s">
        <v>914</v>
      </c>
      <c r="F14" s="669" t="s">
        <v>915</v>
      </c>
      <c r="G14" s="566"/>
      <c r="H14" s="671"/>
      <c r="I14" s="566"/>
      <c r="J14" s="671"/>
      <c r="K14" s="566"/>
      <c r="L14" s="671"/>
      <c r="M14" s="566"/>
      <c r="N14" s="671"/>
      <c r="O14" s="566"/>
      <c r="P14" s="671"/>
      <c r="Q14" s="566"/>
      <c r="R14" s="671"/>
      <c r="S14" s="566"/>
      <c r="T14" s="671"/>
      <c r="U14" s="566"/>
      <c r="V14" s="671"/>
      <c r="W14" s="566"/>
      <c r="X14" s="671"/>
      <c r="Y14" s="566"/>
      <c r="Z14" s="671"/>
      <c r="AA14" s="566"/>
      <c r="AB14" s="671"/>
      <c r="AC14" s="566"/>
      <c r="AD14" s="671"/>
      <c r="AE14" s="566"/>
      <c r="AF14" s="671"/>
      <c r="AG14" s="566"/>
      <c r="AH14" s="671"/>
      <c r="AI14" s="566"/>
      <c r="AJ14" s="671"/>
      <c r="AK14" s="566"/>
      <c r="AL14" s="671"/>
      <c r="AM14" s="566"/>
      <c r="AN14" s="671"/>
      <c r="AO14" s="566"/>
      <c r="AP14" s="671"/>
      <c r="AQ14" s="566"/>
      <c r="AR14" s="671"/>
      <c r="AS14" s="566"/>
      <c r="AT14" s="671"/>
      <c r="AU14" s="566"/>
      <c r="AV14" s="671"/>
      <c r="AW14" s="566"/>
      <c r="AX14" s="671"/>
      <c r="AY14" s="566"/>
      <c r="AZ14" s="671"/>
      <c r="BA14" s="566"/>
      <c r="BB14" s="671"/>
      <c r="BC14" s="566"/>
      <c r="BD14" s="671"/>
      <c r="BE14" s="566"/>
      <c r="BF14" s="671"/>
      <c r="BG14" s="566"/>
      <c r="BH14" s="671"/>
      <c r="BI14" s="566"/>
      <c r="BJ14" s="671"/>
      <c r="BK14" s="566"/>
      <c r="BL14" s="671"/>
      <c r="BM14" s="566"/>
      <c r="BN14" s="671"/>
      <c r="BO14" s="566"/>
      <c r="BP14" s="671"/>
      <c r="BQ14" s="566"/>
      <c r="BR14" s="671"/>
      <c r="BS14" s="298" t="s">
        <v>916</v>
      </c>
      <c r="BT14" s="729"/>
      <c r="CF14" s="514">
        <v>0</v>
      </c>
    </row>
    <row s="1644" customFormat="1" customHeight="1" ht="78.75">
      <c r="A15" s="2401"/>
      <c r="B15" s="520"/>
      <c r="D15" s="962" t="s">
        <v>90</v>
      </c>
      <c r="E15" s="716" t="s">
        <v>917</v>
      </c>
      <c r="F15" s="959" t="s">
        <v>379</v>
      </c>
      <c r="G15" s="959" t="s">
        <v>379</v>
      </c>
      <c r="H15" s="115"/>
      <c r="I15" s="959" t="s">
        <v>379</v>
      </c>
      <c r="J15" s="115"/>
      <c r="K15" s="2321" t="s">
        <v>379</v>
      </c>
      <c r="L15" s="2510"/>
      <c r="M15" s="2321" t="s">
        <v>379</v>
      </c>
      <c r="N15" s="2510"/>
      <c r="O15" s="2321" t="s">
        <v>379</v>
      </c>
      <c r="P15" s="2510"/>
      <c r="Q15" s="2321" t="s">
        <v>379</v>
      </c>
      <c r="R15" s="2510"/>
      <c r="S15" s="2321" t="s">
        <v>379</v>
      </c>
      <c r="T15" s="2510"/>
      <c r="U15" s="2321" t="s">
        <v>379</v>
      </c>
      <c r="V15" s="2510"/>
      <c r="W15" s="2321" t="s">
        <v>379</v>
      </c>
      <c r="X15" s="2510"/>
      <c r="Y15" s="2321" t="s">
        <v>379</v>
      </c>
      <c r="Z15" s="2510"/>
      <c r="AA15" s="2321" t="s">
        <v>379</v>
      </c>
      <c r="AB15" s="2510"/>
      <c r="AC15" s="2321" t="s">
        <v>379</v>
      </c>
      <c r="AD15" s="2510"/>
      <c r="AE15" s="2321" t="s">
        <v>379</v>
      </c>
      <c r="AF15" s="2510"/>
      <c r="AG15" s="2321" t="s">
        <v>379</v>
      </c>
      <c r="AH15" s="2510"/>
      <c r="AI15" s="2321" t="s">
        <v>379</v>
      </c>
      <c r="AJ15" s="2510"/>
      <c r="AK15" s="2321" t="s">
        <v>379</v>
      </c>
      <c r="AL15" s="2510"/>
      <c r="AM15" s="2321" t="s">
        <v>379</v>
      </c>
      <c r="AN15" s="2510"/>
      <c r="AO15" s="2321" t="s">
        <v>379</v>
      </c>
      <c r="AP15" s="2510"/>
      <c r="AQ15" s="2321" t="s">
        <v>379</v>
      </c>
      <c r="AR15" s="2510"/>
      <c r="AS15" s="2321" t="s">
        <v>379</v>
      </c>
      <c r="AT15" s="2510"/>
      <c r="AU15" s="2321" t="s">
        <v>379</v>
      </c>
      <c r="AV15" s="2510"/>
      <c r="AW15" s="2321" t="s">
        <v>379</v>
      </c>
      <c r="AX15" s="2510"/>
      <c r="AY15" s="2321" t="s">
        <v>379</v>
      </c>
      <c r="AZ15" s="2510"/>
      <c r="BA15" s="2321" t="s">
        <v>379</v>
      </c>
      <c r="BB15" s="2510"/>
      <c r="BC15" s="2321" t="s">
        <v>379</v>
      </c>
      <c r="BD15" s="2510"/>
      <c r="BE15" s="2321" t="s">
        <v>379</v>
      </c>
      <c r="BF15" s="2510"/>
      <c r="BG15" s="2321" t="s">
        <v>379</v>
      </c>
      <c r="BH15" s="2510"/>
      <c r="BI15" s="2321" t="s">
        <v>379</v>
      </c>
      <c r="BJ15" s="2510"/>
      <c r="BK15" s="2321" t="s">
        <v>379</v>
      </c>
      <c r="BL15" s="2510"/>
      <c r="BM15" s="2375" t="s">
        <v>379</v>
      </c>
      <c r="BN15" s="2510"/>
      <c r="BO15" s="2375" t="s">
        <v>379</v>
      </c>
      <c r="BP15" s="2510"/>
      <c r="BQ15" s="2375" t="s">
        <v>379</v>
      </c>
      <c r="BR15" s="2510"/>
      <c r="BS15" s="298" t="s">
        <v>918</v>
      </c>
      <c r="BT15" s="729"/>
      <c r="CF15" s="767">
        <v>0</v>
      </c>
    </row>
    <row s="1644" customFormat="1" customHeight="1" ht="22.5">
      <c r="A16" s="2401"/>
      <c r="B16" s="520"/>
      <c r="D16" s="962" t="s">
        <v>397</v>
      </c>
      <c r="E16" s="963" t="s">
        <v>919</v>
      </c>
      <c r="F16" s="959" t="s">
        <v>920</v>
      </c>
      <c r="G16" s="826"/>
      <c r="H16" s="115"/>
      <c r="I16" s="826"/>
      <c r="J16" s="115"/>
      <c r="K16" s="826"/>
      <c r="L16" s="2510"/>
      <c r="M16" s="826"/>
      <c r="N16" s="2510"/>
      <c r="O16" s="826"/>
      <c r="P16" s="2510"/>
      <c r="Q16" s="826"/>
      <c r="R16" s="2510"/>
      <c r="S16" s="826"/>
      <c r="T16" s="2510"/>
      <c r="U16" s="826"/>
      <c r="V16" s="2510"/>
      <c r="W16" s="826"/>
      <c r="X16" s="2510"/>
      <c r="Y16" s="826"/>
      <c r="Z16" s="2510"/>
      <c r="AA16" s="826"/>
      <c r="AB16" s="2510"/>
      <c r="AC16" s="826"/>
      <c r="AD16" s="2510"/>
      <c r="AE16" s="826"/>
      <c r="AF16" s="2510"/>
      <c r="AG16" s="826"/>
      <c r="AH16" s="2510"/>
      <c r="AI16" s="826"/>
      <c r="AJ16" s="2510"/>
      <c r="AK16" s="826"/>
      <c r="AL16" s="2510"/>
      <c r="AM16" s="826"/>
      <c r="AN16" s="2510"/>
      <c r="AO16" s="826"/>
      <c r="AP16" s="2510"/>
      <c r="AQ16" s="826"/>
      <c r="AR16" s="2510"/>
      <c r="AS16" s="826"/>
      <c r="AT16" s="2510"/>
      <c r="AU16" s="826"/>
      <c r="AV16" s="2510"/>
      <c r="AW16" s="826"/>
      <c r="AX16" s="2510"/>
      <c r="AY16" s="826"/>
      <c r="AZ16" s="2510"/>
      <c r="BA16" s="826"/>
      <c r="BB16" s="2510"/>
      <c r="BC16" s="826"/>
      <c r="BD16" s="2510"/>
      <c r="BE16" s="826"/>
      <c r="BF16" s="2510"/>
      <c r="BG16" s="826"/>
      <c r="BH16" s="2510"/>
      <c r="BI16" s="826"/>
      <c r="BJ16" s="2510"/>
      <c r="BK16" s="826"/>
      <c r="BL16" s="2510"/>
      <c r="BM16" s="826"/>
      <c r="BN16" s="2510"/>
      <c r="BO16" s="826"/>
      <c r="BP16" s="2510"/>
      <c r="BQ16" s="826"/>
      <c r="BR16" s="2510"/>
      <c r="BS16" s="298"/>
      <c r="BT16" s="729"/>
      <c r="CF16" s="767">
        <v>0</v>
      </c>
    </row>
    <row s="1644" customFormat="1" customHeight="1" ht="22.5">
      <c r="A17" s="2401"/>
      <c r="B17" s="520"/>
      <c r="D17" s="962" t="s">
        <v>405</v>
      </c>
      <c r="E17" s="963" t="s">
        <v>921</v>
      </c>
      <c r="F17" s="959" t="s">
        <v>922</v>
      </c>
      <c r="G17" s="826"/>
      <c r="H17" s="115"/>
      <c r="I17" s="826"/>
      <c r="J17" s="115"/>
      <c r="K17" s="826"/>
      <c r="L17" s="2510"/>
      <c r="M17" s="826"/>
      <c r="N17" s="2510"/>
      <c r="O17" s="826"/>
      <c r="P17" s="2510"/>
      <c r="Q17" s="826"/>
      <c r="R17" s="2510"/>
      <c r="S17" s="826"/>
      <c r="T17" s="2510"/>
      <c r="U17" s="826"/>
      <c r="V17" s="2510"/>
      <c r="W17" s="826"/>
      <c r="X17" s="2510"/>
      <c r="Y17" s="826"/>
      <c r="Z17" s="2510"/>
      <c r="AA17" s="826"/>
      <c r="AB17" s="2510"/>
      <c r="AC17" s="826"/>
      <c r="AD17" s="2510"/>
      <c r="AE17" s="826"/>
      <c r="AF17" s="2510"/>
      <c r="AG17" s="826"/>
      <c r="AH17" s="2510"/>
      <c r="AI17" s="826"/>
      <c r="AJ17" s="2510"/>
      <c r="AK17" s="826"/>
      <c r="AL17" s="2510"/>
      <c r="AM17" s="826"/>
      <c r="AN17" s="2510"/>
      <c r="AO17" s="826"/>
      <c r="AP17" s="2510"/>
      <c r="AQ17" s="826"/>
      <c r="AR17" s="2510"/>
      <c r="AS17" s="826"/>
      <c r="AT17" s="2510"/>
      <c r="AU17" s="826"/>
      <c r="AV17" s="2510"/>
      <c r="AW17" s="826"/>
      <c r="AX17" s="2510"/>
      <c r="AY17" s="826"/>
      <c r="AZ17" s="2510"/>
      <c r="BA17" s="826"/>
      <c r="BB17" s="2510"/>
      <c r="BC17" s="826"/>
      <c r="BD17" s="2510"/>
      <c r="BE17" s="826"/>
      <c r="BF17" s="2510"/>
      <c r="BG17" s="826"/>
      <c r="BH17" s="2510"/>
      <c r="BI17" s="826"/>
      <c r="BJ17" s="2510"/>
      <c r="BK17" s="826"/>
      <c r="BL17" s="2510"/>
      <c r="BM17" s="826"/>
      <c r="BN17" s="2510"/>
      <c r="BO17" s="826"/>
      <c r="BP17" s="2510"/>
      <c r="BQ17" s="826"/>
      <c r="BR17" s="2510"/>
      <c r="BS17" s="298"/>
      <c r="BT17" s="729"/>
      <c r="CF17" s="767">
        <v>0</v>
      </c>
    </row>
    <row s="1644" customFormat="1" customHeight="1" ht="33.75">
      <c r="A18" s="2401"/>
      <c r="B18" s="520"/>
      <c r="D18" s="962" t="s">
        <v>407</v>
      </c>
      <c r="E18" s="963" t="s">
        <v>923</v>
      </c>
      <c r="F18" s="959" t="s">
        <v>644</v>
      </c>
      <c r="G18" s="689"/>
      <c r="H18" s="115"/>
      <c r="I18" s="689"/>
      <c r="J18" s="115"/>
      <c r="K18" s="689"/>
      <c r="L18" s="2510"/>
      <c r="M18" s="689"/>
      <c r="N18" s="2510"/>
      <c r="O18" s="689"/>
      <c r="P18" s="2510"/>
      <c r="Q18" s="689"/>
      <c r="R18" s="2510"/>
      <c r="S18" s="689"/>
      <c r="T18" s="2510"/>
      <c r="U18" s="689"/>
      <c r="V18" s="2510"/>
      <c r="W18" s="689"/>
      <c r="X18" s="2510"/>
      <c r="Y18" s="689"/>
      <c r="Z18" s="2510"/>
      <c r="AA18" s="689"/>
      <c r="AB18" s="2510"/>
      <c r="AC18" s="689"/>
      <c r="AD18" s="2510"/>
      <c r="AE18" s="689"/>
      <c r="AF18" s="2510"/>
      <c r="AG18" s="689"/>
      <c r="AH18" s="2510"/>
      <c r="AI18" s="689"/>
      <c r="AJ18" s="2510"/>
      <c r="AK18" s="689"/>
      <c r="AL18" s="2510"/>
      <c r="AM18" s="689"/>
      <c r="AN18" s="2510"/>
      <c r="AO18" s="689"/>
      <c r="AP18" s="2510"/>
      <c r="AQ18" s="689"/>
      <c r="AR18" s="2510"/>
      <c r="AS18" s="689"/>
      <c r="AT18" s="2510"/>
      <c r="AU18" s="689"/>
      <c r="AV18" s="2510"/>
      <c r="AW18" s="689"/>
      <c r="AX18" s="2510"/>
      <c r="AY18" s="689"/>
      <c r="AZ18" s="2510"/>
      <c r="BA18" s="689"/>
      <c r="BB18" s="2510"/>
      <c r="BC18" s="689"/>
      <c r="BD18" s="2510"/>
      <c r="BE18" s="689"/>
      <c r="BF18" s="2510"/>
      <c r="BG18" s="689"/>
      <c r="BH18" s="2510"/>
      <c r="BI18" s="689"/>
      <c r="BJ18" s="2510"/>
      <c r="BK18" s="689"/>
      <c r="BL18" s="2510"/>
      <c r="BM18" s="689"/>
      <c r="BN18" s="2510"/>
      <c r="BO18" s="689"/>
      <c r="BP18" s="2510"/>
      <c r="BQ18" s="689"/>
      <c r="BR18" s="2510"/>
      <c r="BS18" s="298"/>
      <c r="BT18" s="729"/>
      <c r="CF18" s="767">
        <v>0</v>
      </c>
    </row>
    <row customHeight="1" ht="101.25">
      <c r="A19" s="2401"/>
      <c r="D19" s="962" t="s">
        <v>91</v>
      </c>
      <c r="E19" s="288" t="s">
        <v>924</v>
      </c>
      <c r="F19" s="669" t="s">
        <v>619</v>
      </c>
      <c r="G19" s="672"/>
      <c r="H19" s="671"/>
      <c r="I19" s="964"/>
      <c r="J19" s="671"/>
      <c r="K19" s="2526"/>
      <c r="L19" s="671"/>
      <c r="M19" s="2526"/>
      <c r="N19" s="671"/>
      <c r="O19" s="2526"/>
      <c r="P19" s="671"/>
      <c r="Q19" s="2526"/>
      <c r="R19" s="671"/>
      <c r="S19" s="2526"/>
      <c r="T19" s="671"/>
      <c r="U19" s="2526"/>
      <c r="V19" s="671"/>
      <c r="W19" s="2526"/>
      <c r="X19" s="671"/>
      <c r="Y19" s="2526"/>
      <c r="Z19" s="671"/>
      <c r="AA19" s="2526"/>
      <c r="AB19" s="671"/>
      <c r="AC19" s="2526"/>
      <c r="AD19" s="671"/>
      <c r="AE19" s="2526"/>
      <c r="AF19" s="671"/>
      <c r="AG19" s="2526"/>
      <c r="AH19" s="671"/>
      <c r="AI19" s="2526"/>
      <c r="AJ19" s="671"/>
      <c r="AK19" s="2526"/>
      <c r="AL19" s="671"/>
      <c r="AM19" s="2526"/>
      <c r="AN19" s="671"/>
      <c r="AO19" s="2526"/>
      <c r="AP19" s="671"/>
      <c r="AQ19" s="2526"/>
      <c r="AR19" s="671"/>
      <c r="AS19" s="2526"/>
      <c r="AT19" s="671"/>
      <c r="AU19" s="2526"/>
      <c r="AV19" s="671"/>
      <c r="AW19" s="2526"/>
      <c r="AX19" s="671"/>
      <c r="AY19" s="2526"/>
      <c r="AZ19" s="671"/>
      <c r="BA19" s="2526"/>
      <c r="BB19" s="671"/>
      <c r="BC19" s="2526"/>
      <c r="BD19" s="671"/>
      <c r="BE19" s="2526"/>
      <c r="BF19" s="671"/>
      <c r="BG19" s="2526"/>
      <c r="BH19" s="671"/>
      <c r="BI19" s="2526"/>
      <c r="BJ19" s="671"/>
      <c r="BK19" s="2526"/>
      <c r="BL19" s="671"/>
      <c r="BM19" s="2526"/>
      <c r="BN19" s="671"/>
      <c r="BO19" s="2526"/>
      <c r="BP19" s="671"/>
      <c r="BQ19" s="2526"/>
      <c r="BR19" s="671"/>
      <c r="BS19" s="298" t="s">
        <v>925</v>
      </c>
      <c r="BT19" s="729"/>
      <c r="CF19" s="514">
        <v>0</v>
      </c>
    </row>
    <row s="1644" customFormat="1" customHeight="1" ht="18.75">
      <c r="A20" s="2401"/>
      <c r="C20" s="965"/>
      <c r="D20" s="962" t="s">
        <v>856</v>
      </c>
      <c r="E20" s="963" t="s">
        <v>926</v>
      </c>
      <c r="F20" s="959" t="s">
        <v>379</v>
      </c>
      <c r="G20" s="959" t="s">
        <v>379</v>
      </c>
      <c r="H20" s="958" t="s">
        <v>379</v>
      </c>
      <c r="I20" s="959" t="s">
        <v>379</v>
      </c>
      <c r="J20" s="958" t="s">
        <v>379</v>
      </c>
      <c r="K20" s="2321" t="s">
        <v>379</v>
      </c>
      <c r="L20" s="2269" t="s">
        <v>379</v>
      </c>
      <c r="M20" s="2321" t="s">
        <v>379</v>
      </c>
      <c r="N20" s="2269" t="s">
        <v>379</v>
      </c>
      <c r="O20" s="2321" t="s">
        <v>379</v>
      </c>
      <c r="P20" s="2269" t="s">
        <v>379</v>
      </c>
      <c r="Q20" s="2321" t="s">
        <v>379</v>
      </c>
      <c r="R20" s="2269" t="s">
        <v>379</v>
      </c>
      <c r="S20" s="2321" t="s">
        <v>379</v>
      </c>
      <c r="T20" s="2269" t="s">
        <v>379</v>
      </c>
      <c r="U20" s="2321" t="s">
        <v>379</v>
      </c>
      <c r="V20" s="2269" t="s">
        <v>379</v>
      </c>
      <c r="W20" s="2321" t="s">
        <v>379</v>
      </c>
      <c r="X20" s="2269" t="s">
        <v>379</v>
      </c>
      <c r="Y20" s="2321" t="s">
        <v>379</v>
      </c>
      <c r="Z20" s="2269" t="s">
        <v>379</v>
      </c>
      <c r="AA20" s="2321" t="s">
        <v>379</v>
      </c>
      <c r="AB20" s="2269" t="s">
        <v>379</v>
      </c>
      <c r="AC20" s="2321" t="s">
        <v>379</v>
      </c>
      <c r="AD20" s="2269" t="s">
        <v>379</v>
      </c>
      <c r="AE20" s="2321" t="s">
        <v>379</v>
      </c>
      <c r="AF20" s="2269" t="s">
        <v>379</v>
      </c>
      <c r="AG20" s="2321" t="s">
        <v>379</v>
      </c>
      <c r="AH20" s="2269" t="s">
        <v>379</v>
      </c>
      <c r="AI20" s="2321" t="s">
        <v>379</v>
      </c>
      <c r="AJ20" s="2269" t="s">
        <v>379</v>
      </c>
      <c r="AK20" s="2321" t="s">
        <v>379</v>
      </c>
      <c r="AL20" s="2269" t="s">
        <v>379</v>
      </c>
      <c r="AM20" s="2321" t="s">
        <v>379</v>
      </c>
      <c r="AN20" s="2269" t="s">
        <v>379</v>
      </c>
      <c r="AO20" s="2321" t="s">
        <v>379</v>
      </c>
      <c r="AP20" s="2269" t="s">
        <v>379</v>
      </c>
      <c r="AQ20" s="2321" t="s">
        <v>379</v>
      </c>
      <c r="AR20" s="2269" t="s">
        <v>379</v>
      </c>
      <c r="AS20" s="2321" t="s">
        <v>379</v>
      </c>
      <c r="AT20" s="2269" t="s">
        <v>379</v>
      </c>
      <c r="AU20" s="2321" t="s">
        <v>379</v>
      </c>
      <c r="AV20" s="2269" t="s">
        <v>379</v>
      </c>
      <c r="AW20" s="2321" t="s">
        <v>379</v>
      </c>
      <c r="AX20" s="2269" t="s">
        <v>379</v>
      </c>
      <c r="AY20" s="2321" t="s">
        <v>379</v>
      </c>
      <c r="AZ20" s="2269" t="s">
        <v>379</v>
      </c>
      <c r="BA20" s="2321" t="s">
        <v>379</v>
      </c>
      <c r="BB20" s="2269" t="s">
        <v>379</v>
      </c>
      <c r="BC20" s="2321" t="s">
        <v>379</v>
      </c>
      <c r="BD20" s="2269" t="s">
        <v>379</v>
      </c>
      <c r="BE20" s="2321" t="s">
        <v>379</v>
      </c>
      <c r="BF20" s="2269" t="s">
        <v>379</v>
      </c>
      <c r="BG20" s="2321" t="s">
        <v>379</v>
      </c>
      <c r="BH20" s="2269" t="s">
        <v>379</v>
      </c>
      <c r="BI20" s="2321" t="s">
        <v>379</v>
      </c>
      <c r="BJ20" s="2269" t="s">
        <v>379</v>
      </c>
      <c r="BK20" s="2321" t="s">
        <v>379</v>
      </c>
      <c r="BL20" s="2269" t="s">
        <v>379</v>
      </c>
      <c r="BM20" s="2375" t="s">
        <v>379</v>
      </c>
      <c r="BN20" s="2269" t="s">
        <v>379</v>
      </c>
      <c r="BO20" s="2375" t="s">
        <v>379</v>
      </c>
      <c r="BP20" s="2269" t="s">
        <v>379</v>
      </c>
      <c r="BQ20" s="2375" t="s">
        <v>379</v>
      </c>
      <c r="BR20" s="2269" t="s">
        <v>379</v>
      </c>
      <c r="BS20" s="957"/>
      <c r="BT20" s="729"/>
      <c r="CE20" s="684"/>
      <c r="CF20" s="767">
        <v>0</v>
      </c>
    </row>
    <row s="1644" customFormat="1" customHeight="1" ht="33.75">
      <c r="A21" s="2401"/>
      <c r="C21" s="965"/>
      <c r="D21" s="962" t="s">
        <v>859</v>
      </c>
      <c r="E21" s="585" t="s">
        <v>927</v>
      </c>
      <c r="F21" s="959" t="s">
        <v>928</v>
      </c>
      <c r="G21" s="689"/>
      <c r="H21" s="115"/>
      <c r="I21" s="689"/>
      <c r="J21" s="115"/>
      <c r="K21" s="689"/>
      <c r="L21" s="2510"/>
      <c r="M21" s="689"/>
      <c r="N21" s="2510"/>
      <c r="O21" s="689"/>
      <c r="P21" s="2510"/>
      <c r="Q21" s="689"/>
      <c r="R21" s="2510"/>
      <c r="S21" s="689"/>
      <c r="T21" s="2510"/>
      <c r="U21" s="689"/>
      <c r="V21" s="2510"/>
      <c r="W21" s="689"/>
      <c r="X21" s="2510"/>
      <c r="Y21" s="689"/>
      <c r="Z21" s="2510"/>
      <c r="AA21" s="689"/>
      <c r="AB21" s="2510"/>
      <c r="AC21" s="689"/>
      <c r="AD21" s="2510"/>
      <c r="AE21" s="689"/>
      <c r="AF21" s="2510"/>
      <c r="AG21" s="689"/>
      <c r="AH21" s="2510"/>
      <c r="AI21" s="689"/>
      <c r="AJ21" s="2510"/>
      <c r="AK21" s="689"/>
      <c r="AL21" s="2510"/>
      <c r="AM21" s="689"/>
      <c r="AN21" s="2510"/>
      <c r="AO21" s="689"/>
      <c r="AP21" s="2510"/>
      <c r="AQ21" s="689"/>
      <c r="AR21" s="2510"/>
      <c r="AS21" s="689"/>
      <c r="AT21" s="2510"/>
      <c r="AU21" s="689"/>
      <c r="AV21" s="2510"/>
      <c r="AW21" s="689"/>
      <c r="AX21" s="2510"/>
      <c r="AY21" s="689"/>
      <c r="AZ21" s="2510"/>
      <c r="BA21" s="689"/>
      <c r="BB21" s="2510"/>
      <c r="BC21" s="689"/>
      <c r="BD21" s="2510"/>
      <c r="BE21" s="689"/>
      <c r="BF21" s="2510"/>
      <c r="BG21" s="689"/>
      <c r="BH21" s="2510"/>
      <c r="BI21" s="689"/>
      <c r="BJ21" s="2510"/>
      <c r="BK21" s="689"/>
      <c r="BL21" s="2510"/>
      <c r="BM21" s="689"/>
      <c r="BN21" s="2510"/>
      <c r="BO21" s="689"/>
      <c r="BP21" s="2510"/>
      <c r="BQ21" s="689"/>
      <c r="BR21" s="2510"/>
      <c r="BS21" s="957"/>
      <c r="BT21" s="729"/>
      <c r="CE21" s="684"/>
      <c r="CF21" s="767">
        <v>0</v>
      </c>
    </row>
    <row s="1644" customFormat="1" customHeight="1" ht="33.75">
      <c r="A22" s="2401"/>
      <c r="C22" s="965"/>
      <c r="D22" s="962" t="s">
        <v>862</v>
      </c>
      <c r="E22" s="585" t="s">
        <v>929</v>
      </c>
      <c r="F22" s="959" t="s">
        <v>930</v>
      </c>
      <c r="G22" s="689"/>
      <c r="H22" s="115"/>
      <c r="I22" s="689"/>
      <c r="J22" s="115"/>
      <c r="K22" s="689"/>
      <c r="L22" s="2510"/>
      <c r="M22" s="689"/>
      <c r="N22" s="2510"/>
      <c r="O22" s="689"/>
      <c r="P22" s="2510"/>
      <c r="Q22" s="689"/>
      <c r="R22" s="2510"/>
      <c r="S22" s="689"/>
      <c r="T22" s="2510"/>
      <c r="U22" s="689"/>
      <c r="V22" s="2510"/>
      <c r="W22" s="689"/>
      <c r="X22" s="2510"/>
      <c r="Y22" s="689"/>
      <c r="Z22" s="2510"/>
      <c r="AA22" s="689"/>
      <c r="AB22" s="2510"/>
      <c r="AC22" s="689"/>
      <c r="AD22" s="2510"/>
      <c r="AE22" s="689"/>
      <c r="AF22" s="2510"/>
      <c r="AG22" s="689"/>
      <c r="AH22" s="2510"/>
      <c r="AI22" s="689"/>
      <c r="AJ22" s="2510"/>
      <c r="AK22" s="689"/>
      <c r="AL22" s="2510"/>
      <c r="AM22" s="689"/>
      <c r="AN22" s="2510"/>
      <c r="AO22" s="689"/>
      <c r="AP22" s="2510"/>
      <c r="AQ22" s="689"/>
      <c r="AR22" s="2510"/>
      <c r="AS22" s="689"/>
      <c r="AT22" s="2510"/>
      <c r="AU22" s="689"/>
      <c r="AV22" s="2510"/>
      <c r="AW22" s="689"/>
      <c r="AX22" s="2510"/>
      <c r="AY22" s="689"/>
      <c r="AZ22" s="2510"/>
      <c r="BA22" s="689"/>
      <c r="BB22" s="2510"/>
      <c r="BC22" s="689"/>
      <c r="BD22" s="2510"/>
      <c r="BE22" s="689"/>
      <c r="BF22" s="2510"/>
      <c r="BG22" s="689"/>
      <c r="BH22" s="2510"/>
      <c r="BI22" s="689"/>
      <c r="BJ22" s="2510"/>
      <c r="BK22" s="689"/>
      <c r="BL22" s="2510"/>
      <c r="BM22" s="689"/>
      <c r="BN22" s="2510"/>
      <c r="BO22" s="689"/>
      <c r="BP22" s="2510"/>
      <c r="BQ22" s="689"/>
      <c r="BR22" s="2510"/>
      <c r="BS22" s="957"/>
      <c r="BT22" s="729"/>
      <c r="CE22" s="684"/>
      <c r="CF22" s="767">
        <v>0</v>
      </c>
    </row>
    <row s="1644" customFormat="1" customHeight="1" ht="22.5">
      <c r="A23" s="2401"/>
      <c r="C23" s="965"/>
      <c r="D23" s="962" t="s">
        <v>898</v>
      </c>
      <c r="E23" s="963" t="s">
        <v>931</v>
      </c>
      <c r="F23" s="959" t="s">
        <v>379</v>
      </c>
      <c r="G23" s="959" t="s">
        <v>379</v>
      </c>
      <c r="H23" s="958" t="s">
        <v>379</v>
      </c>
      <c r="I23" s="959" t="s">
        <v>379</v>
      </c>
      <c r="J23" s="958" t="s">
        <v>379</v>
      </c>
      <c r="K23" s="2321" t="s">
        <v>379</v>
      </c>
      <c r="L23" s="2269" t="s">
        <v>379</v>
      </c>
      <c r="M23" s="2321" t="s">
        <v>379</v>
      </c>
      <c r="N23" s="2269" t="s">
        <v>379</v>
      </c>
      <c r="O23" s="2321" t="s">
        <v>379</v>
      </c>
      <c r="P23" s="2269" t="s">
        <v>379</v>
      </c>
      <c r="Q23" s="2321" t="s">
        <v>379</v>
      </c>
      <c r="R23" s="2269" t="s">
        <v>379</v>
      </c>
      <c r="S23" s="2321" t="s">
        <v>379</v>
      </c>
      <c r="T23" s="2269" t="s">
        <v>379</v>
      </c>
      <c r="U23" s="2321" t="s">
        <v>379</v>
      </c>
      <c r="V23" s="2269" t="s">
        <v>379</v>
      </c>
      <c r="W23" s="2321" t="s">
        <v>379</v>
      </c>
      <c r="X23" s="2269" t="s">
        <v>379</v>
      </c>
      <c r="Y23" s="2321" t="s">
        <v>379</v>
      </c>
      <c r="Z23" s="2269" t="s">
        <v>379</v>
      </c>
      <c r="AA23" s="2321" t="s">
        <v>379</v>
      </c>
      <c r="AB23" s="2269" t="s">
        <v>379</v>
      </c>
      <c r="AC23" s="2321" t="s">
        <v>379</v>
      </c>
      <c r="AD23" s="2269" t="s">
        <v>379</v>
      </c>
      <c r="AE23" s="2321" t="s">
        <v>379</v>
      </c>
      <c r="AF23" s="2269" t="s">
        <v>379</v>
      </c>
      <c r="AG23" s="2321" t="s">
        <v>379</v>
      </c>
      <c r="AH23" s="2269" t="s">
        <v>379</v>
      </c>
      <c r="AI23" s="2321" t="s">
        <v>379</v>
      </c>
      <c r="AJ23" s="2269" t="s">
        <v>379</v>
      </c>
      <c r="AK23" s="2321" t="s">
        <v>379</v>
      </c>
      <c r="AL23" s="2269" t="s">
        <v>379</v>
      </c>
      <c r="AM23" s="2321" t="s">
        <v>379</v>
      </c>
      <c r="AN23" s="2269" t="s">
        <v>379</v>
      </c>
      <c r="AO23" s="2321" t="s">
        <v>379</v>
      </c>
      <c r="AP23" s="2269" t="s">
        <v>379</v>
      </c>
      <c r="AQ23" s="2321" t="s">
        <v>379</v>
      </c>
      <c r="AR23" s="2269" t="s">
        <v>379</v>
      </c>
      <c r="AS23" s="2321" t="s">
        <v>379</v>
      </c>
      <c r="AT23" s="2269" t="s">
        <v>379</v>
      </c>
      <c r="AU23" s="2321" t="s">
        <v>379</v>
      </c>
      <c r="AV23" s="2269" t="s">
        <v>379</v>
      </c>
      <c r="AW23" s="2321" t="s">
        <v>379</v>
      </c>
      <c r="AX23" s="2269" t="s">
        <v>379</v>
      </c>
      <c r="AY23" s="2321" t="s">
        <v>379</v>
      </c>
      <c r="AZ23" s="2269" t="s">
        <v>379</v>
      </c>
      <c r="BA23" s="2321" t="s">
        <v>379</v>
      </c>
      <c r="BB23" s="2269" t="s">
        <v>379</v>
      </c>
      <c r="BC23" s="2321" t="s">
        <v>379</v>
      </c>
      <c r="BD23" s="2269" t="s">
        <v>379</v>
      </c>
      <c r="BE23" s="2321" t="s">
        <v>379</v>
      </c>
      <c r="BF23" s="2269" t="s">
        <v>379</v>
      </c>
      <c r="BG23" s="2321" t="s">
        <v>379</v>
      </c>
      <c r="BH23" s="2269" t="s">
        <v>379</v>
      </c>
      <c r="BI23" s="2321" t="s">
        <v>379</v>
      </c>
      <c r="BJ23" s="2269" t="s">
        <v>379</v>
      </c>
      <c r="BK23" s="2321" t="s">
        <v>379</v>
      </c>
      <c r="BL23" s="2269" t="s">
        <v>379</v>
      </c>
      <c r="BM23" s="2375" t="s">
        <v>379</v>
      </c>
      <c r="BN23" s="2269" t="s">
        <v>379</v>
      </c>
      <c r="BO23" s="2375" t="s">
        <v>379</v>
      </c>
      <c r="BP23" s="2269" t="s">
        <v>379</v>
      </c>
      <c r="BQ23" s="2375" t="s">
        <v>379</v>
      </c>
      <c r="BR23" s="2269" t="s">
        <v>379</v>
      </c>
      <c r="BS23" s="957"/>
      <c r="BT23" s="729"/>
      <c r="CE23" s="684"/>
      <c r="CF23" s="767">
        <v>0</v>
      </c>
    </row>
    <row s="1644" customFormat="1" customHeight="1" ht="22.5">
      <c r="A24" s="2401"/>
      <c r="C24" s="965"/>
      <c r="D24" s="962" t="s">
        <v>932</v>
      </c>
      <c r="E24" s="585" t="s">
        <v>933</v>
      </c>
      <c r="F24" s="959" t="s">
        <v>934</v>
      </c>
      <c r="G24" s="689"/>
      <c r="H24" s="695"/>
      <c r="I24" s="689"/>
      <c r="J24" s="695"/>
      <c r="K24" s="689"/>
      <c r="L24" s="2362"/>
      <c r="M24" s="689"/>
      <c r="N24" s="2362"/>
      <c r="O24" s="689"/>
      <c r="P24" s="2362"/>
      <c r="Q24" s="689"/>
      <c r="R24" s="2362"/>
      <c r="S24" s="689"/>
      <c r="T24" s="2362"/>
      <c r="U24" s="689"/>
      <c r="V24" s="2362"/>
      <c r="W24" s="689"/>
      <c r="X24" s="2362"/>
      <c r="Y24" s="689"/>
      <c r="Z24" s="2362"/>
      <c r="AA24" s="689"/>
      <c r="AB24" s="2362"/>
      <c r="AC24" s="689"/>
      <c r="AD24" s="2362"/>
      <c r="AE24" s="689"/>
      <c r="AF24" s="2362"/>
      <c r="AG24" s="689"/>
      <c r="AH24" s="2362"/>
      <c r="AI24" s="689"/>
      <c r="AJ24" s="2362"/>
      <c r="AK24" s="689"/>
      <c r="AL24" s="2362"/>
      <c r="AM24" s="689"/>
      <c r="AN24" s="2362"/>
      <c r="AO24" s="689"/>
      <c r="AP24" s="2362"/>
      <c r="AQ24" s="689"/>
      <c r="AR24" s="2362"/>
      <c r="AS24" s="689"/>
      <c r="AT24" s="2362"/>
      <c r="AU24" s="689"/>
      <c r="AV24" s="2362"/>
      <c r="AW24" s="689"/>
      <c r="AX24" s="2362"/>
      <c r="AY24" s="689"/>
      <c r="AZ24" s="2362"/>
      <c r="BA24" s="689"/>
      <c r="BB24" s="2362"/>
      <c r="BC24" s="689"/>
      <c r="BD24" s="2362"/>
      <c r="BE24" s="689"/>
      <c r="BF24" s="2362"/>
      <c r="BG24" s="689"/>
      <c r="BH24" s="2362"/>
      <c r="BI24" s="689"/>
      <c r="BJ24" s="2362"/>
      <c r="BK24" s="689"/>
      <c r="BL24" s="2362"/>
      <c r="BM24" s="689"/>
      <c r="BN24" s="3100"/>
      <c r="BO24" s="689"/>
      <c r="BP24" s="3100"/>
      <c r="BQ24" s="689"/>
      <c r="BR24" s="3100"/>
      <c r="BS24" s="957"/>
      <c r="BT24" s="729"/>
      <c r="CE24" s="684"/>
      <c r="CF24" s="767">
        <v>0</v>
      </c>
    </row>
    <row s="1644" customFormat="1" customHeight="1" ht="22.5">
      <c r="A25" s="2401"/>
      <c r="C25" s="965"/>
      <c r="D25" s="962" t="s">
        <v>935</v>
      </c>
      <c r="E25" s="585" t="s">
        <v>936</v>
      </c>
      <c r="F25" s="959" t="s">
        <v>379</v>
      </c>
      <c r="G25" s="959" t="s">
        <v>379</v>
      </c>
      <c r="H25" s="958" t="s">
        <v>379</v>
      </c>
      <c r="I25" s="959" t="s">
        <v>379</v>
      </c>
      <c r="J25" s="958" t="s">
        <v>379</v>
      </c>
      <c r="K25" s="2321" t="s">
        <v>379</v>
      </c>
      <c r="L25" s="2269" t="s">
        <v>379</v>
      </c>
      <c r="M25" s="2321" t="s">
        <v>379</v>
      </c>
      <c r="N25" s="2269" t="s">
        <v>379</v>
      </c>
      <c r="O25" s="2321" t="s">
        <v>379</v>
      </c>
      <c r="P25" s="2269" t="s">
        <v>379</v>
      </c>
      <c r="Q25" s="2321" t="s">
        <v>379</v>
      </c>
      <c r="R25" s="2269" t="s">
        <v>379</v>
      </c>
      <c r="S25" s="2321" t="s">
        <v>379</v>
      </c>
      <c r="T25" s="2269" t="s">
        <v>379</v>
      </c>
      <c r="U25" s="2321" t="s">
        <v>379</v>
      </c>
      <c r="V25" s="2269" t="s">
        <v>379</v>
      </c>
      <c r="W25" s="2321" t="s">
        <v>379</v>
      </c>
      <c r="X25" s="2269" t="s">
        <v>379</v>
      </c>
      <c r="Y25" s="2321" t="s">
        <v>379</v>
      </c>
      <c r="Z25" s="2269" t="s">
        <v>379</v>
      </c>
      <c r="AA25" s="2321" t="s">
        <v>379</v>
      </c>
      <c r="AB25" s="2269" t="s">
        <v>379</v>
      </c>
      <c r="AC25" s="2321" t="s">
        <v>379</v>
      </c>
      <c r="AD25" s="2269" t="s">
        <v>379</v>
      </c>
      <c r="AE25" s="2321" t="s">
        <v>379</v>
      </c>
      <c r="AF25" s="2269" t="s">
        <v>379</v>
      </c>
      <c r="AG25" s="2321" t="s">
        <v>379</v>
      </c>
      <c r="AH25" s="2269" t="s">
        <v>379</v>
      </c>
      <c r="AI25" s="2321" t="s">
        <v>379</v>
      </c>
      <c r="AJ25" s="2269" t="s">
        <v>379</v>
      </c>
      <c r="AK25" s="2321" t="s">
        <v>379</v>
      </c>
      <c r="AL25" s="2269" t="s">
        <v>379</v>
      </c>
      <c r="AM25" s="2321" t="s">
        <v>379</v>
      </c>
      <c r="AN25" s="2269" t="s">
        <v>379</v>
      </c>
      <c r="AO25" s="2321" t="s">
        <v>379</v>
      </c>
      <c r="AP25" s="2269" t="s">
        <v>379</v>
      </c>
      <c r="AQ25" s="2321" t="s">
        <v>379</v>
      </c>
      <c r="AR25" s="2269" t="s">
        <v>379</v>
      </c>
      <c r="AS25" s="2321" t="s">
        <v>379</v>
      </c>
      <c r="AT25" s="2269" t="s">
        <v>379</v>
      </c>
      <c r="AU25" s="2321" t="s">
        <v>379</v>
      </c>
      <c r="AV25" s="2269" t="s">
        <v>379</v>
      </c>
      <c r="AW25" s="2321" t="s">
        <v>379</v>
      </c>
      <c r="AX25" s="2269" t="s">
        <v>379</v>
      </c>
      <c r="AY25" s="2321" t="s">
        <v>379</v>
      </c>
      <c r="AZ25" s="2269" t="s">
        <v>379</v>
      </c>
      <c r="BA25" s="2321" t="s">
        <v>379</v>
      </c>
      <c r="BB25" s="2269" t="s">
        <v>379</v>
      </c>
      <c r="BC25" s="2321" t="s">
        <v>379</v>
      </c>
      <c r="BD25" s="2269" t="s">
        <v>379</v>
      </c>
      <c r="BE25" s="2321" t="s">
        <v>379</v>
      </c>
      <c r="BF25" s="2269" t="s">
        <v>379</v>
      </c>
      <c r="BG25" s="2321" t="s">
        <v>379</v>
      </c>
      <c r="BH25" s="2269" t="s">
        <v>379</v>
      </c>
      <c r="BI25" s="2321" t="s">
        <v>379</v>
      </c>
      <c r="BJ25" s="2269" t="s">
        <v>379</v>
      </c>
      <c r="BK25" s="2321" t="s">
        <v>379</v>
      </c>
      <c r="BL25" s="2269" t="s">
        <v>379</v>
      </c>
      <c r="BM25" s="2375" t="s">
        <v>379</v>
      </c>
      <c r="BN25" s="2269" t="s">
        <v>379</v>
      </c>
      <c r="BO25" s="2375" t="s">
        <v>379</v>
      </c>
      <c r="BP25" s="2269" t="s">
        <v>379</v>
      </c>
      <c r="BQ25" s="2375" t="s">
        <v>379</v>
      </c>
      <c r="BR25" s="2269" t="s">
        <v>379</v>
      </c>
      <c r="BS25" s="957"/>
      <c r="BT25" s="729"/>
      <c r="CE25" s="684"/>
      <c r="CF25" s="767">
        <v>0</v>
      </c>
    </row>
    <row s="1644" customFormat="1" customHeight="1" ht="18.75">
      <c r="A26" s="2401"/>
      <c r="C26" s="965"/>
      <c r="D26" s="962" t="s">
        <v>937</v>
      </c>
      <c r="E26" s="562" t="s">
        <v>938</v>
      </c>
      <c r="F26" s="959" t="s">
        <v>939</v>
      </c>
      <c r="G26" s="689"/>
      <c r="H26" s="695"/>
      <c r="I26" s="689"/>
      <c r="J26" s="695"/>
      <c r="K26" s="689"/>
      <c r="L26" s="2362"/>
      <c r="M26" s="689"/>
      <c r="N26" s="2362"/>
      <c r="O26" s="689"/>
      <c r="P26" s="2362"/>
      <c r="Q26" s="689"/>
      <c r="R26" s="2362"/>
      <c r="S26" s="689"/>
      <c r="T26" s="2362"/>
      <c r="U26" s="689"/>
      <c r="V26" s="2362"/>
      <c r="W26" s="689"/>
      <c r="X26" s="2362"/>
      <c r="Y26" s="689"/>
      <c r="Z26" s="2362"/>
      <c r="AA26" s="689"/>
      <c r="AB26" s="2362"/>
      <c r="AC26" s="689"/>
      <c r="AD26" s="2362"/>
      <c r="AE26" s="689"/>
      <c r="AF26" s="2362"/>
      <c r="AG26" s="689"/>
      <c r="AH26" s="2362"/>
      <c r="AI26" s="689"/>
      <c r="AJ26" s="2362"/>
      <c r="AK26" s="689"/>
      <c r="AL26" s="2362"/>
      <c r="AM26" s="689"/>
      <c r="AN26" s="2362"/>
      <c r="AO26" s="689"/>
      <c r="AP26" s="2362"/>
      <c r="AQ26" s="689"/>
      <c r="AR26" s="2362"/>
      <c r="AS26" s="689"/>
      <c r="AT26" s="2362"/>
      <c r="AU26" s="689"/>
      <c r="AV26" s="2362"/>
      <c r="AW26" s="689"/>
      <c r="AX26" s="2362"/>
      <c r="AY26" s="689"/>
      <c r="AZ26" s="2362"/>
      <c r="BA26" s="689"/>
      <c r="BB26" s="2362"/>
      <c r="BC26" s="689"/>
      <c r="BD26" s="2362"/>
      <c r="BE26" s="689"/>
      <c r="BF26" s="2362"/>
      <c r="BG26" s="689"/>
      <c r="BH26" s="2362"/>
      <c r="BI26" s="689"/>
      <c r="BJ26" s="2362"/>
      <c r="BK26" s="689"/>
      <c r="BL26" s="2362"/>
      <c r="BM26" s="689"/>
      <c r="BN26" s="3100"/>
      <c r="BO26" s="689"/>
      <c r="BP26" s="3100"/>
      <c r="BQ26" s="689"/>
      <c r="BR26" s="3100"/>
      <c r="BS26" s="957"/>
      <c r="BT26" s="729"/>
      <c r="CE26" s="684"/>
      <c r="CF26" s="767">
        <v>0</v>
      </c>
    </row>
    <row s="1644" customFormat="1" customHeight="1" ht="18.75">
      <c r="A27" s="2401"/>
      <c r="C27" s="965"/>
      <c r="D27" s="962" t="s">
        <v>940</v>
      </c>
      <c r="E27" s="562" t="s">
        <v>941</v>
      </c>
      <c r="F27" s="959" t="s">
        <v>942</v>
      </c>
      <c r="G27" s="689"/>
      <c r="H27" s="695"/>
      <c r="I27" s="689"/>
      <c r="J27" s="695"/>
      <c r="K27" s="689"/>
      <c r="L27" s="2362"/>
      <c r="M27" s="689"/>
      <c r="N27" s="2362"/>
      <c r="O27" s="689"/>
      <c r="P27" s="2362"/>
      <c r="Q27" s="689"/>
      <c r="R27" s="2362"/>
      <c r="S27" s="689"/>
      <c r="T27" s="2362"/>
      <c r="U27" s="689"/>
      <c r="V27" s="2362"/>
      <c r="W27" s="689"/>
      <c r="X27" s="2362"/>
      <c r="Y27" s="689"/>
      <c r="Z27" s="2362"/>
      <c r="AA27" s="689"/>
      <c r="AB27" s="2362"/>
      <c r="AC27" s="689"/>
      <c r="AD27" s="2362"/>
      <c r="AE27" s="689"/>
      <c r="AF27" s="2362"/>
      <c r="AG27" s="689"/>
      <c r="AH27" s="2362"/>
      <c r="AI27" s="689"/>
      <c r="AJ27" s="2362"/>
      <c r="AK27" s="689"/>
      <c r="AL27" s="2362"/>
      <c r="AM27" s="689"/>
      <c r="AN27" s="2362"/>
      <c r="AO27" s="689"/>
      <c r="AP27" s="2362"/>
      <c r="AQ27" s="689"/>
      <c r="AR27" s="2362"/>
      <c r="AS27" s="689"/>
      <c r="AT27" s="2362"/>
      <c r="AU27" s="689"/>
      <c r="AV27" s="2362"/>
      <c r="AW27" s="689"/>
      <c r="AX27" s="2362"/>
      <c r="AY27" s="689"/>
      <c r="AZ27" s="2362"/>
      <c r="BA27" s="689"/>
      <c r="BB27" s="2362"/>
      <c r="BC27" s="689"/>
      <c r="BD27" s="2362"/>
      <c r="BE27" s="689"/>
      <c r="BF27" s="2362"/>
      <c r="BG27" s="689"/>
      <c r="BH27" s="2362"/>
      <c r="BI27" s="689"/>
      <c r="BJ27" s="2362"/>
      <c r="BK27" s="689"/>
      <c r="BL27" s="2362"/>
      <c r="BM27" s="689"/>
      <c r="BN27" s="3100"/>
      <c r="BO27" s="689"/>
      <c r="BP27" s="3100"/>
      <c r="BQ27" s="689"/>
      <c r="BR27" s="3100"/>
      <c r="BS27" s="957"/>
      <c r="BT27" s="729"/>
      <c r="CE27" s="684"/>
      <c r="CF27" s="767">
        <v>0</v>
      </c>
    </row>
    <row s="1644" customFormat="1" customHeight="1" ht="18.75">
      <c r="A28" s="2401"/>
      <c r="C28" s="965"/>
      <c r="D28" s="962" t="s">
        <v>943</v>
      </c>
      <c r="E28" s="585" t="s">
        <v>944</v>
      </c>
      <c r="F28" s="959" t="s">
        <v>379</v>
      </c>
      <c r="G28" s="959" t="s">
        <v>379</v>
      </c>
      <c r="H28" s="958" t="s">
        <v>379</v>
      </c>
      <c r="I28" s="959" t="s">
        <v>379</v>
      </c>
      <c r="J28" s="958" t="s">
        <v>379</v>
      </c>
      <c r="K28" s="2321" t="s">
        <v>379</v>
      </c>
      <c r="L28" s="2269" t="s">
        <v>379</v>
      </c>
      <c r="M28" s="2321" t="s">
        <v>379</v>
      </c>
      <c r="N28" s="2269" t="s">
        <v>379</v>
      </c>
      <c r="O28" s="2321" t="s">
        <v>379</v>
      </c>
      <c r="P28" s="2269" t="s">
        <v>379</v>
      </c>
      <c r="Q28" s="2321" t="s">
        <v>379</v>
      </c>
      <c r="R28" s="2269" t="s">
        <v>379</v>
      </c>
      <c r="S28" s="2321" t="s">
        <v>379</v>
      </c>
      <c r="T28" s="2269" t="s">
        <v>379</v>
      </c>
      <c r="U28" s="2321" t="s">
        <v>379</v>
      </c>
      <c r="V28" s="2269" t="s">
        <v>379</v>
      </c>
      <c r="W28" s="2321" t="s">
        <v>379</v>
      </c>
      <c r="X28" s="2269" t="s">
        <v>379</v>
      </c>
      <c r="Y28" s="2321" t="s">
        <v>379</v>
      </c>
      <c r="Z28" s="2269" t="s">
        <v>379</v>
      </c>
      <c r="AA28" s="2321" t="s">
        <v>379</v>
      </c>
      <c r="AB28" s="2269" t="s">
        <v>379</v>
      </c>
      <c r="AC28" s="2321" t="s">
        <v>379</v>
      </c>
      <c r="AD28" s="2269" t="s">
        <v>379</v>
      </c>
      <c r="AE28" s="2321" t="s">
        <v>379</v>
      </c>
      <c r="AF28" s="2269" t="s">
        <v>379</v>
      </c>
      <c r="AG28" s="2321" t="s">
        <v>379</v>
      </c>
      <c r="AH28" s="2269" t="s">
        <v>379</v>
      </c>
      <c r="AI28" s="2321" t="s">
        <v>379</v>
      </c>
      <c r="AJ28" s="2269" t="s">
        <v>379</v>
      </c>
      <c r="AK28" s="2321" t="s">
        <v>379</v>
      </c>
      <c r="AL28" s="2269" t="s">
        <v>379</v>
      </c>
      <c r="AM28" s="2321" t="s">
        <v>379</v>
      </c>
      <c r="AN28" s="2269" t="s">
        <v>379</v>
      </c>
      <c r="AO28" s="2321" t="s">
        <v>379</v>
      </c>
      <c r="AP28" s="2269" t="s">
        <v>379</v>
      </c>
      <c r="AQ28" s="2321" t="s">
        <v>379</v>
      </c>
      <c r="AR28" s="2269" t="s">
        <v>379</v>
      </c>
      <c r="AS28" s="2321" t="s">
        <v>379</v>
      </c>
      <c r="AT28" s="2269" t="s">
        <v>379</v>
      </c>
      <c r="AU28" s="2321" t="s">
        <v>379</v>
      </c>
      <c r="AV28" s="2269" t="s">
        <v>379</v>
      </c>
      <c r="AW28" s="2321" t="s">
        <v>379</v>
      </c>
      <c r="AX28" s="2269" t="s">
        <v>379</v>
      </c>
      <c r="AY28" s="2321" t="s">
        <v>379</v>
      </c>
      <c r="AZ28" s="2269" t="s">
        <v>379</v>
      </c>
      <c r="BA28" s="2321" t="s">
        <v>379</v>
      </c>
      <c r="BB28" s="2269" t="s">
        <v>379</v>
      </c>
      <c r="BC28" s="2321" t="s">
        <v>379</v>
      </c>
      <c r="BD28" s="2269" t="s">
        <v>379</v>
      </c>
      <c r="BE28" s="2321" t="s">
        <v>379</v>
      </c>
      <c r="BF28" s="2269" t="s">
        <v>379</v>
      </c>
      <c r="BG28" s="2321" t="s">
        <v>379</v>
      </c>
      <c r="BH28" s="2269" t="s">
        <v>379</v>
      </c>
      <c r="BI28" s="2321" t="s">
        <v>379</v>
      </c>
      <c r="BJ28" s="2269" t="s">
        <v>379</v>
      </c>
      <c r="BK28" s="2321" t="s">
        <v>379</v>
      </c>
      <c r="BL28" s="2269" t="s">
        <v>379</v>
      </c>
      <c r="BM28" s="2375" t="s">
        <v>379</v>
      </c>
      <c r="BN28" s="2269" t="s">
        <v>379</v>
      </c>
      <c r="BO28" s="2375" t="s">
        <v>379</v>
      </c>
      <c r="BP28" s="2269" t="s">
        <v>379</v>
      </c>
      <c r="BQ28" s="2375" t="s">
        <v>379</v>
      </c>
      <c r="BR28" s="2269" t="s">
        <v>379</v>
      </c>
      <c r="BS28" s="957"/>
      <c r="BT28" s="729"/>
      <c r="CE28" s="684"/>
      <c r="CF28" s="767">
        <v>0</v>
      </c>
    </row>
    <row s="1644" customFormat="1" customHeight="1" ht="18.75">
      <c r="A29" s="2401"/>
      <c r="C29" s="965"/>
      <c r="D29" s="962" t="s">
        <v>945</v>
      </c>
      <c r="E29" s="562" t="s">
        <v>938</v>
      </c>
      <c r="F29" s="959" t="s">
        <v>946</v>
      </c>
      <c r="G29" s="689"/>
      <c r="H29" s="695"/>
      <c r="I29" s="689"/>
      <c r="J29" s="695"/>
      <c r="K29" s="689"/>
      <c r="L29" s="2362"/>
      <c r="M29" s="689"/>
      <c r="N29" s="2362"/>
      <c r="O29" s="689"/>
      <c r="P29" s="2362"/>
      <c r="Q29" s="689"/>
      <c r="R29" s="2362"/>
      <c r="S29" s="689"/>
      <c r="T29" s="2362"/>
      <c r="U29" s="689"/>
      <c r="V29" s="2362"/>
      <c r="W29" s="689"/>
      <c r="X29" s="2362"/>
      <c r="Y29" s="689"/>
      <c r="Z29" s="2362"/>
      <c r="AA29" s="689"/>
      <c r="AB29" s="2362"/>
      <c r="AC29" s="689"/>
      <c r="AD29" s="2362"/>
      <c r="AE29" s="689"/>
      <c r="AF29" s="2362"/>
      <c r="AG29" s="689"/>
      <c r="AH29" s="2362"/>
      <c r="AI29" s="689"/>
      <c r="AJ29" s="2362"/>
      <c r="AK29" s="689"/>
      <c r="AL29" s="2362"/>
      <c r="AM29" s="689"/>
      <c r="AN29" s="2362"/>
      <c r="AO29" s="689"/>
      <c r="AP29" s="2362"/>
      <c r="AQ29" s="689"/>
      <c r="AR29" s="2362"/>
      <c r="AS29" s="689"/>
      <c r="AT29" s="2362"/>
      <c r="AU29" s="689"/>
      <c r="AV29" s="2362"/>
      <c r="AW29" s="689"/>
      <c r="AX29" s="2362"/>
      <c r="AY29" s="689"/>
      <c r="AZ29" s="2362"/>
      <c r="BA29" s="689"/>
      <c r="BB29" s="2362"/>
      <c r="BC29" s="689"/>
      <c r="BD29" s="2362"/>
      <c r="BE29" s="689"/>
      <c r="BF29" s="2362"/>
      <c r="BG29" s="689"/>
      <c r="BH29" s="2362"/>
      <c r="BI29" s="689"/>
      <c r="BJ29" s="2362"/>
      <c r="BK29" s="689"/>
      <c r="BL29" s="2362"/>
      <c r="BM29" s="689"/>
      <c r="BN29" s="3100"/>
      <c r="BO29" s="689"/>
      <c r="BP29" s="3100"/>
      <c r="BQ29" s="689"/>
      <c r="BR29" s="3100"/>
      <c r="BS29" s="957"/>
      <c r="BT29" s="729"/>
      <c r="CE29" s="684"/>
      <c r="CF29" s="767">
        <v>0</v>
      </c>
    </row>
    <row s="1644" customFormat="1" customHeight="1" ht="18.75">
      <c r="A30" s="2401"/>
      <c r="C30" s="965"/>
      <c r="D30" s="962" t="s">
        <v>947</v>
      </c>
      <c r="E30" s="562" t="s">
        <v>948</v>
      </c>
      <c r="F30" s="959" t="s">
        <v>949</v>
      </c>
      <c r="G30" s="689"/>
      <c r="H30" s="695"/>
      <c r="I30" s="689"/>
      <c r="J30" s="695"/>
      <c r="K30" s="689"/>
      <c r="L30" s="2362"/>
      <c r="M30" s="689"/>
      <c r="N30" s="2362"/>
      <c r="O30" s="689"/>
      <c r="P30" s="2362"/>
      <c r="Q30" s="689"/>
      <c r="R30" s="2362"/>
      <c r="S30" s="689"/>
      <c r="T30" s="2362"/>
      <c r="U30" s="689"/>
      <c r="V30" s="2362"/>
      <c r="W30" s="689"/>
      <c r="X30" s="2362"/>
      <c r="Y30" s="689"/>
      <c r="Z30" s="2362"/>
      <c r="AA30" s="689"/>
      <c r="AB30" s="2362"/>
      <c r="AC30" s="689"/>
      <c r="AD30" s="2362"/>
      <c r="AE30" s="689"/>
      <c r="AF30" s="2362"/>
      <c r="AG30" s="689"/>
      <c r="AH30" s="2362"/>
      <c r="AI30" s="689"/>
      <c r="AJ30" s="2362"/>
      <c r="AK30" s="689"/>
      <c r="AL30" s="2362"/>
      <c r="AM30" s="689"/>
      <c r="AN30" s="2362"/>
      <c r="AO30" s="689"/>
      <c r="AP30" s="2362"/>
      <c r="AQ30" s="689"/>
      <c r="AR30" s="2362"/>
      <c r="AS30" s="689"/>
      <c r="AT30" s="2362"/>
      <c r="AU30" s="689"/>
      <c r="AV30" s="2362"/>
      <c r="AW30" s="689"/>
      <c r="AX30" s="2362"/>
      <c r="AY30" s="689"/>
      <c r="AZ30" s="2362"/>
      <c r="BA30" s="689"/>
      <c r="BB30" s="2362"/>
      <c r="BC30" s="689"/>
      <c r="BD30" s="2362"/>
      <c r="BE30" s="689"/>
      <c r="BF30" s="2362"/>
      <c r="BG30" s="689"/>
      <c r="BH30" s="2362"/>
      <c r="BI30" s="689"/>
      <c r="BJ30" s="2362"/>
      <c r="BK30" s="689"/>
      <c r="BL30" s="2362"/>
      <c r="BM30" s="689"/>
      <c r="BN30" s="3100"/>
      <c r="BO30" s="689"/>
      <c r="BP30" s="3100"/>
      <c r="BQ30" s="689"/>
      <c r="BR30" s="3100"/>
      <c r="BS30" s="957"/>
      <c r="BT30" s="729"/>
      <c r="CE30" s="684"/>
      <c r="CF30" s="767">
        <v>0</v>
      </c>
    </row>
    <row customHeight="1" ht="126.75">
      <c r="A31" s="2401"/>
      <c r="D31" s="962" t="s">
        <v>111</v>
      </c>
      <c r="E31" s="288" t="s">
        <v>950</v>
      </c>
      <c r="F31" s="669" t="s">
        <v>631</v>
      </c>
      <c r="G31" s="566"/>
      <c r="H31" s="671"/>
      <c r="I31" s="566"/>
      <c r="J31" s="671"/>
      <c r="K31" s="566"/>
      <c r="L31" s="671"/>
      <c r="M31" s="566"/>
      <c r="N31" s="671"/>
      <c r="O31" s="566"/>
      <c r="P31" s="671"/>
      <c r="Q31" s="566"/>
      <c r="R31" s="671"/>
      <c r="S31" s="566"/>
      <c r="T31" s="671"/>
      <c r="U31" s="566"/>
      <c r="V31" s="671"/>
      <c r="W31" s="566"/>
      <c r="X31" s="671"/>
      <c r="Y31" s="566"/>
      <c r="Z31" s="671"/>
      <c r="AA31" s="566"/>
      <c r="AB31" s="671"/>
      <c r="AC31" s="566"/>
      <c r="AD31" s="671"/>
      <c r="AE31" s="566"/>
      <c r="AF31" s="671"/>
      <c r="AG31" s="566"/>
      <c r="AH31" s="671"/>
      <c r="AI31" s="566"/>
      <c r="AJ31" s="671"/>
      <c r="AK31" s="566"/>
      <c r="AL31" s="671"/>
      <c r="AM31" s="566"/>
      <c r="AN31" s="671"/>
      <c r="AO31" s="566"/>
      <c r="AP31" s="671"/>
      <c r="AQ31" s="566"/>
      <c r="AR31" s="671"/>
      <c r="AS31" s="566"/>
      <c r="AT31" s="671"/>
      <c r="AU31" s="566"/>
      <c r="AV31" s="671"/>
      <c r="AW31" s="566"/>
      <c r="AX31" s="671"/>
      <c r="AY31" s="566"/>
      <c r="AZ31" s="671"/>
      <c r="BA31" s="566"/>
      <c r="BB31" s="671"/>
      <c r="BC31" s="566"/>
      <c r="BD31" s="671"/>
      <c r="BE31" s="566"/>
      <c r="BF31" s="671"/>
      <c r="BG31" s="566"/>
      <c r="BH31" s="671"/>
      <c r="BI31" s="566"/>
      <c r="BJ31" s="671"/>
      <c r="BK31" s="566"/>
      <c r="BL31" s="671"/>
      <c r="BM31" s="566"/>
      <c r="BN31" s="671"/>
      <c r="BO31" s="566"/>
      <c r="BP31" s="671"/>
      <c r="BQ31" s="566"/>
      <c r="BR31" s="671"/>
      <c r="BS31" s="298" t="s">
        <v>951</v>
      </c>
      <c r="BT31" s="729"/>
      <c r="CF31" s="514">
        <v>0</v>
      </c>
    </row>
    <row customHeight="1" ht="56.25">
      <c r="A32" s="2401"/>
      <c r="D32" s="962" t="s">
        <v>92</v>
      </c>
      <c r="E32" s="288" t="s">
        <v>952</v>
      </c>
      <c r="F32" s="548" t="s">
        <v>922</v>
      </c>
      <c r="G32" s="566"/>
      <c r="H32" s="671"/>
      <c r="I32" s="566"/>
      <c r="J32" s="671"/>
      <c r="K32" s="566"/>
      <c r="L32" s="671"/>
      <c r="M32" s="566"/>
      <c r="N32" s="671"/>
      <c r="O32" s="566"/>
      <c r="P32" s="671"/>
      <c r="Q32" s="566"/>
      <c r="R32" s="671"/>
      <c r="S32" s="566"/>
      <c r="T32" s="671"/>
      <c r="U32" s="566"/>
      <c r="V32" s="671"/>
      <c r="W32" s="566"/>
      <c r="X32" s="671"/>
      <c r="Y32" s="566"/>
      <c r="Z32" s="671"/>
      <c r="AA32" s="566"/>
      <c r="AB32" s="671"/>
      <c r="AC32" s="566"/>
      <c r="AD32" s="671"/>
      <c r="AE32" s="566"/>
      <c r="AF32" s="671"/>
      <c r="AG32" s="566"/>
      <c r="AH32" s="671"/>
      <c r="AI32" s="566"/>
      <c r="AJ32" s="671"/>
      <c r="AK32" s="566"/>
      <c r="AL32" s="671"/>
      <c r="AM32" s="566"/>
      <c r="AN32" s="671"/>
      <c r="AO32" s="566"/>
      <c r="AP32" s="671"/>
      <c r="AQ32" s="566"/>
      <c r="AR32" s="671"/>
      <c r="AS32" s="566"/>
      <c r="AT32" s="671"/>
      <c r="AU32" s="566"/>
      <c r="AV32" s="671"/>
      <c r="AW32" s="566"/>
      <c r="AX32" s="671"/>
      <c r="AY32" s="566"/>
      <c r="AZ32" s="671"/>
      <c r="BA32" s="566"/>
      <c r="BB32" s="671"/>
      <c r="BC32" s="566"/>
      <c r="BD32" s="671"/>
      <c r="BE32" s="566"/>
      <c r="BF32" s="671"/>
      <c r="BG32" s="566"/>
      <c r="BH32" s="671"/>
      <c r="BI32" s="566"/>
      <c r="BJ32" s="671"/>
      <c r="BK32" s="566"/>
      <c r="BL32" s="671"/>
      <c r="BM32" s="566"/>
      <c r="BN32" s="671"/>
      <c r="BO32" s="566"/>
      <c r="BP32" s="671"/>
      <c r="BQ32" s="566"/>
      <c r="BR32" s="671"/>
      <c r="BS32" s="298" t="s">
        <v>953</v>
      </c>
      <c r="BT32" s="729"/>
      <c r="CF32" s="514">
        <v>0</v>
      </c>
    </row>
    <row customHeight="1" ht="11.25">
      <c r="A33" s="2401"/>
      <c r="E33" s="673"/>
      <c r="F33" s="190"/>
      <c r="G33" s="190"/>
      <c r="H33" s="190"/>
      <c r="I33" s="190"/>
      <c r="J33" s="190"/>
      <c r="K33" s="1073"/>
      <c r="L33" s="1073"/>
      <c r="M33" s="1073"/>
      <c r="N33" s="1073"/>
      <c r="O33" s="1073"/>
      <c r="P33" s="1073"/>
      <c r="Q33" s="1073"/>
      <c r="R33" s="1073"/>
      <c r="S33" s="1073"/>
      <c r="T33" s="1073"/>
      <c r="U33" s="1073"/>
      <c r="V33" s="1073"/>
      <c r="W33" s="1073"/>
      <c r="X33" s="1073"/>
      <c r="Y33" s="1073"/>
      <c r="Z33" s="1073"/>
      <c r="AA33" s="1073"/>
      <c r="AB33" s="1073"/>
      <c r="AC33" s="1073"/>
      <c r="AD33" s="1073"/>
      <c r="AE33" s="1073"/>
      <c r="AF33" s="1073"/>
      <c r="AG33" s="1073"/>
      <c r="AH33" s="1073"/>
      <c r="AI33" s="1073"/>
      <c r="AJ33" s="1073"/>
      <c r="AK33" s="1073"/>
      <c r="AL33" s="1073"/>
      <c r="AM33" s="1073"/>
      <c r="AN33" s="1073"/>
      <c r="AO33" s="1073"/>
      <c r="AP33" s="1073"/>
      <c r="AQ33" s="1073"/>
      <c r="AR33" s="1073"/>
      <c r="AS33" s="1073"/>
      <c r="AT33" s="1073"/>
      <c r="AU33" s="1073"/>
      <c r="AV33" s="1073"/>
      <c r="AW33" s="1073"/>
      <c r="AX33" s="1073"/>
      <c r="AY33" s="1073"/>
      <c r="AZ33" s="1073"/>
      <c r="BA33" s="1073"/>
      <c r="BB33" s="1073"/>
      <c r="BC33" s="1073"/>
      <c r="BD33" s="1073"/>
      <c r="BE33" s="1073"/>
      <c r="BF33" s="1073"/>
      <c r="BG33" s="1073"/>
      <c r="BH33" s="1073"/>
      <c r="BI33" s="1073"/>
      <c r="BJ33" s="1073"/>
      <c r="BK33" s="1073"/>
      <c r="BL33" s="1073"/>
      <c r="BM33" s="1073"/>
      <c r="BN33" s="1073"/>
      <c r="BO33" s="1073"/>
      <c r="BP33" s="1073"/>
      <c r="BQ33" s="1073"/>
      <c r="BR33" s="1073"/>
      <c r="BS33" s="190"/>
      <c r="CF33" s="514">
        <v>0</v>
      </c>
    </row>
    <row customHeight="1" ht="12.75">
      <c r="A34" s="2401"/>
      <c r="D34" s="74">
        <v>1</v>
      </c>
      <c r="E34" s="344" t="s">
        <v>954</v>
      </c>
      <c r="K34" s="1644"/>
      <c r="L34" s="1644"/>
      <c r="M34" s="1644"/>
      <c r="N34" s="1644"/>
      <c r="O34" s="1644"/>
      <c r="P34" s="1644"/>
      <c r="Q34" s="1644"/>
      <c r="R34" s="1644"/>
      <c r="S34" s="1644"/>
      <c r="T34" s="1644"/>
      <c r="U34" s="1644"/>
      <c r="V34" s="1644"/>
      <c r="W34" s="1644"/>
      <c r="X34" s="1644"/>
      <c r="Y34" s="1644"/>
      <c r="Z34" s="1644"/>
      <c r="AA34" s="1644"/>
      <c r="AB34" s="1644"/>
      <c r="AC34" s="1644"/>
      <c r="AD34" s="1644"/>
      <c r="AE34" s="1644"/>
      <c r="AF34" s="1644"/>
      <c r="AG34" s="1644"/>
      <c r="AH34" s="1644"/>
      <c r="AI34" s="1644"/>
      <c r="AJ34" s="1644"/>
      <c r="AK34" s="1644"/>
      <c r="AL34" s="1644"/>
      <c r="AM34" s="1644"/>
      <c r="AN34" s="1644"/>
      <c r="AO34" s="1644"/>
      <c r="AP34" s="1644"/>
      <c r="AQ34" s="1644"/>
      <c r="AR34" s="1644"/>
      <c r="AS34" s="1644"/>
      <c r="AT34" s="1644"/>
      <c r="AU34" s="1644"/>
      <c r="AV34" s="1644"/>
      <c r="AW34" s="1644"/>
      <c r="AX34" s="1644"/>
      <c r="AY34" s="1644"/>
      <c r="AZ34" s="1644"/>
      <c r="BA34" s="1644"/>
      <c r="BB34" s="1644"/>
      <c r="BC34" s="1644"/>
      <c r="BD34" s="1644"/>
      <c r="BE34" s="1644"/>
      <c r="BF34" s="1644"/>
      <c r="BG34" s="1644"/>
      <c r="BH34" s="1644"/>
      <c r="BI34" s="1644"/>
      <c r="BJ34" s="1644"/>
      <c r="BK34" s="1644"/>
      <c r="BL34" s="1644"/>
      <c r="BM34" s="1644"/>
      <c r="BN34" s="1644"/>
      <c r="BO34" s="1644"/>
      <c r="BP34" s="1644"/>
      <c r="BQ34" s="1644"/>
      <c r="BR34" s="1644"/>
      <c r="CF34" s="514">
        <v>0</v>
      </c>
    </row>
    <row customHeight="1" ht="11.25">
      <c r="A35" s="2401"/>
      <c r="D35" s="378"/>
      <c r="E35" s="344" t="s">
        <v>955</v>
      </c>
      <c r="K35" s="1644"/>
      <c r="L35" s="1644"/>
      <c r="M35" s="1644"/>
      <c r="N35" s="1644"/>
      <c r="O35" s="1644"/>
      <c r="P35" s="1644"/>
      <c r="Q35" s="1644"/>
      <c r="R35" s="1644"/>
      <c r="S35" s="1644"/>
      <c r="T35" s="1644"/>
      <c r="U35" s="1644"/>
      <c r="V35" s="1644"/>
      <c r="W35" s="1644"/>
      <c r="X35" s="1644"/>
      <c r="Y35" s="1644"/>
      <c r="Z35" s="1644"/>
      <c r="AA35" s="1644"/>
      <c r="AB35" s="1644"/>
      <c r="AC35" s="1644"/>
      <c r="AD35" s="1644"/>
      <c r="AE35" s="1644"/>
      <c r="AF35" s="1644"/>
      <c r="AG35" s="1644"/>
      <c r="AH35" s="1644"/>
      <c r="AI35" s="1644"/>
      <c r="AJ35" s="1644"/>
      <c r="AK35" s="1644"/>
      <c r="AL35" s="1644"/>
      <c r="AM35" s="1644"/>
      <c r="AN35" s="1644"/>
      <c r="AO35" s="1644"/>
      <c r="AP35" s="1644"/>
      <c r="AQ35" s="1644"/>
      <c r="AR35" s="1644"/>
      <c r="AS35" s="1644"/>
      <c r="AT35" s="1644"/>
      <c r="AU35" s="1644"/>
      <c r="AV35" s="1644"/>
      <c r="AW35" s="1644"/>
      <c r="AX35" s="1644"/>
      <c r="AY35" s="1644"/>
      <c r="AZ35" s="1644"/>
      <c r="BA35" s="1644"/>
      <c r="BB35" s="1644"/>
      <c r="BC35" s="1644"/>
      <c r="BD35" s="1644"/>
      <c r="BE35" s="1644"/>
      <c r="BF35" s="1644"/>
      <c r="BG35" s="1644"/>
      <c r="BH35" s="1644"/>
      <c r="BI35" s="1644"/>
      <c r="BJ35" s="1644"/>
      <c r="BK35" s="1644"/>
      <c r="BL35" s="1644"/>
      <c r="BM35" s="1644"/>
      <c r="BN35" s="1644"/>
      <c r="BO35" s="1644"/>
      <c r="BP35" s="1644"/>
      <c r="BQ35" s="1644"/>
      <c r="BR35" s="1644"/>
      <c r="CF35" s="514">
        <v>0</v>
      </c>
    </row>
    <row s="1644" customFormat="1" customHeight="1" ht="11.549999999999999">
      <c r="A36" s="1042"/>
      <c r="B36" s="527"/>
      <c r="D36" s="1043"/>
      <c r="E36" s="1044"/>
      <c r="K36" s="1644"/>
      <c r="L36" s="1644"/>
      <c r="M36" s="1644"/>
      <c r="N36" s="1644"/>
      <c r="O36" s="1644"/>
      <c r="P36" s="1644"/>
      <c r="Q36" s="1644"/>
      <c r="R36" s="1644"/>
      <c r="S36" s="1644"/>
      <c r="T36" s="1644"/>
      <c r="U36" s="1644"/>
      <c r="V36" s="1644"/>
      <c r="W36" s="1644"/>
      <c r="X36" s="1644"/>
      <c r="Y36" s="1644"/>
      <c r="Z36" s="1644"/>
      <c r="AA36" s="1644"/>
      <c r="AB36" s="1644"/>
      <c r="AC36" s="1644"/>
      <c r="AD36" s="1644"/>
      <c r="AE36" s="1644"/>
      <c r="AF36" s="1644"/>
      <c r="AG36" s="1644"/>
      <c r="AH36" s="1644"/>
      <c r="AI36" s="1644"/>
      <c r="AJ36" s="1644"/>
      <c r="AK36" s="1644"/>
      <c r="AL36" s="1644"/>
      <c r="AM36" s="1644"/>
      <c r="AN36" s="1644"/>
      <c r="AO36" s="1644"/>
      <c r="AP36" s="1644"/>
      <c r="AQ36" s="1644"/>
      <c r="AR36" s="1644"/>
      <c r="AS36" s="1644"/>
      <c r="AT36" s="1644"/>
      <c r="AU36" s="1644"/>
      <c r="AV36" s="1644"/>
      <c r="AW36" s="1644"/>
      <c r="AX36" s="1644"/>
      <c r="AY36" s="1644"/>
      <c r="AZ36" s="1644"/>
      <c r="BA36" s="1644"/>
      <c r="BB36" s="1644"/>
      <c r="BC36" s="1644"/>
      <c r="BD36" s="1644"/>
      <c r="BE36" s="1644"/>
      <c r="BF36" s="1644"/>
      <c r="BG36" s="1644"/>
      <c r="BH36" s="1644"/>
      <c r="BI36" s="1644"/>
      <c r="BJ36" s="1644"/>
      <c r="BK36" s="1644"/>
      <c r="BL36" s="1644"/>
      <c r="BM36" s="1644"/>
      <c r="BN36" s="1644"/>
      <c r="BO36" s="1644"/>
      <c r="BP36" s="1644"/>
      <c r="BQ36" s="1644"/>
      <c r="BR36" s="1644"/>
      <c r="CF36" s="518">
        <v>11</v>
      </c>
    </row>
    <row s="1644" customFormat="1" customHeight="1" ht="22.5" hidden="1">
      <c r="A37" s="2401" t="s">
        <v>956</v>
      </c>
      <c r="B37" s="520"/>
      <c r="D37" s="962">
        <v>1</v>
      </c>
      <c r="E37" s="716" t="s">
        <v>957</v>
      </c>
      <c r="F37" s="669" t="s">
        <v>912</v>
      </c>
      <c r="G37" s="566"/>
      <c r="H37" s="528"/>
      <c r="I37" s="566"/>
      <c r="J37" s="528"/>
      <c r="K37" s="566"/>
      <c r="L37" s="528"/>
      <c r="M37" s="566"/>
      <c r="N37" s="528"/>
      <c r="O37" s="566"/>
      <c r="P37" s="528"/>
      <c r="Q37" s="566"/>
      <c r="R37" s="528"/>
      <c r="S37" s="566"/>
      <c r="T37" s="528"/>
      <c r="U37" s="566"/>
      <c r="V37" s="528"/>
      <c r="W37" s="566"/>
      <c r="X37" s="528"/>
      <c r="Y37" s="566"/>
      <c r="Z37" s="528"/>
      <c r="AA37" s="566"/>
      <c r="AB37" s="528"/>
      <c r="AC37" s="566"/>
      <c r="AD37" s="528"/>
      <c r="AE37" s="566"/>
      <c r="AF37" s="528"/>
      <c r="AG37" s="566"/>
      <c r="AH37" s="528"/>
      <c r="AI37" s="566"/>
      <c r="AJ37" s="528"/>
      <c r="AK37" s="566"/>
      <c r="AL37" s="528"/>
      <c r="AM37" s="566"/>
      <c r="AN37" s="528"/>
      <c r="AO37" s="566"/>
      <c r="AP37" s="528"/>
      <c r="AQ37" s="566"/>
      <c r="AR37" s="528"/>
      <c r="AS37" s="566"/>
      <c r="AT37" s="528"/>
      <c r="AU37" s="566"/>
      <c r="AV37" s="528"/>
      <c r="AW37" s="566"/>
      <c r="AX37" s="528"/>
      <c r="AY37" s="566"/>
      <c r="AZ37" s="528"/>
      <c r="BA37" s="566"/>
      <c r="BB37" s="528"/>
      <c r="BC37" s="566"/>
      <c r="BD37" s="528"/>
      <c r="BE37" s="566"/>
      <c r="BF37" s="528"/>
      <c r="BG37" s="566"/>
      <c r="BH37" s="528"/>
      <c r="BI37" s="566"/>
      <c r="BJ37" s="528"/>
      <c r="BK37" s="566"/>
      <c r="BL37" s="528"/>
      <c r="BM37" s="566"/>
      <c r="BN37" s="528"/>
      <c r="BO37" s="566"/>
      <c r="BP37" s="528"/>
      <c r="BQ37" s="566"/>
      <c r="BR37" s="528"/>
      <c r="BS37" s="298" t="s">
        <v>958</v>
      </c>
      <c r="CF37" s="767">
        <v>0</v>
      </c>
    </row>
    <row s="1644" customFormat="1" customHeight="1" ht="22.5" hidden="1">
      <c r="A38" s="2401"/>
      <c r="B38" s="520"/>
      <c r="D38" s="678" t="s">
        <v>110</v>
      </c>
      <c r="E38" s="1041" t="s">
        <v>959</v>
      </c>
      <c r="F38" s="1045" t="s">
        <v>619</v>
      </c>
      <c r="G38" s="1045" t="s">
        <v>619</v>
      </c>
      <c r="H38" s="1039"/>
      <c r="I38" s="1045" t="s">
        <v>619</v>
      </c>
      <c r="J38" s="1039"/>
      <c r="K38" s="1045" t="s">
        <v>619</v>
      </c>
      <c r="L38" s="1039"/>
      <c r="M38" s="1045" t="s">
        <v>619</v>
      </c>
      <c r="N38" s="1039"/>
      <c r="O38" s="1045" t="s">
        <v>619</v>
      </c>
      <c r="P38" s="1039"/>
      <c r="Q38" s="1045" t="s">
        <v>619</v>
      </c>
      <c r="R38" s="1039"/>
      <c r="S38" s="1045" t="s">
        <v>619</v>
      </c>
      <c r="T38" s="1039"/>
      <c r="U38" s="1045" t="s">
        <v>619</v>
      </c>
      <c r="V38" s="1039"/>
      <c r="W38" s="1045" t="s">
        <v>619</v>
      </c>
      <c r="X38" s="1039"/>
      <c r="Y38" s="1045" t="s">
        <v>619</v>
      </c>
      <c r="Z38" s="1039"/>
      <c r="AA38" s="1045" t="s">
        <v>619</v>
      </c>
      <c r="AB38" s="1039"/>
      <c r="AC38" s="1045" t="s">
        <v>619</v>
      </c>
      <c r="AD38" s="1039"/>
      <c r="AE38" s="1045" t="s">
        <v>619</v>
      </c>
      <c r="AF38" s="1039"/>
      <c r="AG38" s="1045" t="s">
        <v>619</v>
      </c>
      <c r="AH38" s="1039"/>
      <c r="AI38" s="1045" t="s">
        <v>619</v>
      </c>
      <c r="AJ38" s="1039"/>
      <c r="AK38" s="1045" t="s">
        <v>619</v>
      </c>
      <c r="AL38" s="1039"/>
      <c r="AM38" s="1045" t="s">
        <v>619</v>
      </c>
      <c r="AN38" s="1039"/>
      <c r="AO38" s="1045" t="s">
        <v>619</v>
      </c>
      <c r="AP38" s="1039"/>
      <c r="AQ38" s="1045" t="s">
        <v>619</v>
      </c>
      <c r="AR38" s="1039"/>
      <c r="AS38" s="1045" t="s">
        <v>619</v>
      </c>
      <c r="AT38" s="1039"/>
      <c r="AU38" s="1045" t="s">
        <v>619</v>
      </c>
      <c r="AV38" s="1039"/>
      <c r="AW38" s="1045" t="s">
        <v>619</v>
      </c>
      <c r="AX38" s="1039"/>
      <c r="AY38" s="1045" t="s">
        <v>619</v>
      </c>
      <c r="AZ38" s="1039"/>
      <c r="BA38" s="1045" t="s">
        <v>619</v>
      </c>
      <c r="BB38" s="1039"/>
      <c r="BC38" s="1045" t="s">
        <v>619</v>
      </c>
      <c r="BD38" s="1039"/>
      <c r="BE38" s="1045" t="s">
        <v>619</v>
      </c>
      <c r="BF38" s="1039"/>
      <c r="BG38" s="1045" t="s">
        <v>619</v>
      </c>
      <c r="BH38" s="1039"/>
      <c r="BI38" s="1045" t="s">
        <v>619</v>
      </c>
      <c r="BJ38" s="1039"/>
      <c r="BK38" s="1045" t="s">
        <v>619</v>
      </c>
      <c r="BL38" s="1039"/>
      <c r="BM38" s="1045" t="s">
        <v>619</v>
      </c>
      <c r="BN38" s="1039"/>
      <c r="BO38" s="1045" t="s">
        <v>619</v>
      </c>
      <c r="BP38" s="1039"/>
      <c r="BQ38" s="1045" t="s">
        <v>619</v>
      </c>
      <c r="BR38" s="1039"/>
      <c r="BS38" s="1040"/>
      <c r="CF38" s="767">
        <v>0</v>
      </c>
    </row>
    <row s="1644" customFormat="1" customHeight="1" ht="33.75" hidden="1">
      <c r="A39" s="2401"/>
      <c r="B39" s="520"/>
      <c r="D39" s="674" t="s">
        <v>814</v>
      </c>
      <c r="E39" s="732" t="s">
        <v>960</v>
      </c>
      <c r="F39" s="669" t="s">
        <v>961</v>
      </c>
      <c r="G39" s="677"/>
      <c r="H39" s="1032"/>
      <c r="I39" s="677"/>
      <c r="J39" s="1032"/>
      <c r="K39" s="1178"/>
      <c r="L39" s="1032"/>
      <c r="M39" s="1178"/>
      <c r="N39" s="1032"/>
      <c r="O39" s="1178"/>
      <c r="P39" s="1032"/>
      <c r="Q39" s="1178"/>
      <c r="R39" s="1032"/>
      <c r="S39" s="1178"/>
      <c r="T39" s="1032"/>
      <c r="U39" s="1178"/>
      <c r="V39" s="1032"/>
      <c r="W39" s="1178"/>
      <c r="X39" s="1032"/>
      <c r="Y39" s="1178"/>
      <c r="Z39" s="1032"/>
      <c r="AA39" s="1178"/>
      <c r="AB39" s="1032"/>
      <c r="AC39" s="1178"/>
      <c r="AD39" s="1032"/>
      <c r="AE39" s="1178"/>
      <c r="AF39" s="1032"/>
      <c r="AG39" s="1178"/>
      <c r="AH39" s="1032"/>
      <c r="AI39" s="1178"/>
      <c r="AJ39" s="1032"/>
      <c r="AK39" s="1178"/>
      <c r="AL39" s="1032"/>
      <c r="AM39" s="1178"/>
      <c r="AN39" s="1032"/>
      <c r="AO39" s="1178"/>
      <c r="AP39" s="1032"/>
      <c r="AQ39" s="1178"/>
      <c r="AR39" s="1032"/>
      <c r="AS39" s="1178"/>
      <c r="AT39" s="1032"/>
      <c r="AU39" s="1178"/>
      <c r="AV39" s="1032"/>
      <c r="AW39" s="1178"/>
      <c r="AX39" s="1032"/>
      <c r="AY39" s="1178"/>
      <c r="AZ39" s="1032"/>
      <c r="BA39" s="1178"/>
      <c r="BB39" s="1032"/>
      <c r="BC39" s="1178"/>
      <c r="BD39" s="1032"/>
      <c r="BE39" s="1178"/>
      <c r="BF39" s="1032"/>
      <c r="BG39" s="1178"/>
      <c r="BH39" s="1032"/>
      <c r="BI39" s="1178"/>
      <c r="BJ39" s="1032"/>
      <c r="BK39" s="1178"/>
      <c r="BL39" s="1032"/>
      <c r="BM39" s="1178"/>
      <c r="BN39" s="1032"/>
      <c r="BO39" s="1178"/>
      <c r="BP39" s="1032"/>
      <c r="BQ39" s="1178"/>
      <c r="BR39" s="1032"/>
      <c r="BS39" s="298" t="s">
        <v>962</v>
      </c>
      <c r="CF39" s="767">
        <v>0</v>
      </c>
    </row>
    <row s="1644" customFormat="1" customHeight="1" ht="33.75" hidden="1">
      <c r="A40" s="2401"/>
      <c r="B40" s="520"/>
      <c r="D40" s="674" t="s">
        <v>817</v>
      </c>
      <c r="E40" s="732" t="s">
        <v>963</v>
      </c>
      <c r="F40" s="1036" t="s">
        <v>964</v>
      </c>
      <c r="G40" s="750"/>
      <c r="H40" s="1032"/>
      <c r="I40" s="750"/>
      <c r="J40" s="1032"/>
      <c r="K40" s="750"/>
      <c r="L40" s="1032"/>
      <c r="M40" s="750"/>
      <c r="N40" s="1032"/>
      <c r="O40" s="750"/>
      <c r="P40" s="1032"/>
      <c r="Q40" s="750"/>
      <c r="R40" s="1032"/>
      <c r="S40" s="750"/>
      <c r="T40" s="1032"/>
      <c r="U40" s="750"/>
      <c r="V40" s="1032"/>
      <c r="W40" s="750"/>
      <c r="X40" s="1032"/>
      <c r="Y40" s="750"/>
      <c r="Z40" s="1032"/>
      <c r="AA40" s="750"/>
      <c r="AB40" s="1032"/>
      <c r="AC40" s="750"/>
      <c r="AD40" s="1032"/>
      <c r="AE40" s="750"/>
      <c r="AF40" s="1032"/>
      <c r="AG40" s="750"/>
      <c r="AH40" s="1032"/>
      <c r="AI40" s="750"/>
      <c r="AJ40" s="1032"/>
      <c r="AK40" s="750"/>
      <c r="AL40" s="1032"/>
      <c r="AM40" s="750"/>
      <c r="AN40" s="1032"/>
      <c r="AO40" s="750"/>
      <c r="AP40" s="1032"/>
      <c r="AQ40" s="750"/>
      <c r="AR40" s="1032"/>
      <c r="AS40" s="750"/>
      <c r="AT40" s="1032"/>
      <c r="AU40" s="750"/>
      <c r="AV40" s="1032"/>
      <c r="AW40" s="750"/>
      <c r="AX40" s="1032"/>
      <c r="AY40" s="750"/>
      <c r="AZ40" s="1032"/>
      <c r="BA40" s="750"/>
      <c r="BB40" s="1032"/>
      <c r="BC40" s="750"/>
      <c r="BD40" s="1032"/>
      <c r="BE40" s="750"/>
      <c r="BF40" s="1032"/>
      <c r="BG40" s="750"/>
      <c r="BH40" s="1032"/>
      <c r="BI40" s="750"/>
      <c r="BJ40" s="1032"/>
      <c r="BK40" s="750"/>
      <c r="BL40" s="1032"/>
      <c r="BM40" s="750"/>
      <c r="BN40" s="1032"/>
      <c r="BO40" s="750"/>
      <c r="BP40" s="1032"/>
      <c r="BQ40" s="750"/>
      <c r="BR40" s="1032"/>
      <c r="BS40" s="298" t="s">
        <v>965</v>
      </c>
      <c r="CF40" s="767">
        <v>0</v>
      </c>
    </row>
    <row s="1644" customFormat="1" customHeight="1" ht="22.5" hidden="1">
      <c r="A41" s="2401"/>
      <c r="B41" s="520"/>
      <c r="D41" s="674" t="s">
        <v>90</v>
      </c>
      <c r="E41" s="731" t="s">
        <v>966</v>
      </c>
      <c r="F41" s="669" t="s">
        <v>619</v>
      </c>
      <c r="G41" s="669" t="s">
        <v>619</v>
      </c>
      <c r="H41" s="1033"/>
      <c r="I41" s="669" t="s">
        <v>619</v>
      </c>
      <c r="J41" s="1033"/>
      <c r="K41" s="2113" t="s">
        <v>619</v>
      </c>
      <c r="L41" s="1033"/>
      <c r="M41" s="2113" t="s">
        <v>619</v>
      </c>
      <c r="N41" s="1033"/>
      <c r="O41" s="2113" t="s">
        <v>619</v>
      </c>
      <c r="P41" s="1033"/>
      <c r="Q41" s="2113" t="s">
        <v>619</v>
      </c>
      <c r="R41" s="1033"/>
      <c r="S41" s="2113" t="s">
        <v>619</v>
      </c>
      <c r="T41" s="1033"/>
      <c r="U41" s="2113" t="s">
        <v>619</v>
      </c>
      <c r="V41" s="1033"/>
      <c r="W41" s="2113" t="s">
        <v>619</v>
      </c>
      <c r="X41" s="1033"/>
      <c r="Y41" s="2113" t="s">
        <v>619</v>
      </c>
      <c r="Z41" s="1033"/>
      <c r="AA41" s="2113" t="s">
        <v>619</v>
      </c>
      <c r="AB41" s="1033"/>
      <c r="AC41" s="2113" t="s">
        <v>619</v>
      </c>
      <c r="AD41" s="1033"/>
      <c r="AE41" s="2113" t="s">
        <v>619</v>
      </c>
      <c r="AF41" s="1033"/>
      <c r="AG41" s="2113" t="s">
        <v>619</v>
      </c>
      <c r="AH41" s="1033"/>
      <c r="AI41" s="2113" t="s">
        <v>619</v>
      </c>
      <c r="AJ41" s="1033"/>
      <c r="AK41" s="2113" t="s">
        <v>619</v>
      </c>
      <c r="AL41" s="1033"/>
      <c r="AM41" s="2113" t="s">
        <v>619</v>
      </c>
      <c r="AN41" s="1033"/>
      <c r="AO41" s="2113" t="s">
        <v>619</v>
      </c>
      <c r="AP41" s="1033"/>
      <c r="AQ41" s="2113" t="s">
        <v>619</v>
      </c>
      <c r="AR41" s="1033"/>
      <c r="AS41" s="2113" t="s">
        <v>619</v>
      </c>
      <c r="AT41" s="1033"/>
      <c r="AU41" s="2113" t="s">
        <v>619</v>
      </c>
      <c r="AV41" s="1033"/>
      <c r="AW41" s="2113" t="s">
        <v>619</v>
      </c>
      <c r="AX41" s="1033"/>
      <c r="AY41" s="2113" t="s">
        <v>619</v>
      </c>
      <c r="AZ41" s="1033"/>
      <c r="BA41" s="2113" t="s">
        <v>619</v>
      </c>
      <c r="BB41" s="1033"/>
      <c r="BC41" s="2113" t="s">
        <v>619</v>
      </c>
      <c r="BD41" s="1033"/>
      <c r="BE41" s="2113" t="s">
        <v>619</v>
      </c>
      <c r="BF41" s="1033"/>
      <c r="BG41" s="2113" t="s">
        <v>619</v>
      </c>
      <c r="BH41" s="1033"/>
      <c r="BI41" s="2113" t="s">
        <v>619</v>
      </c>
      <c r="BJ41" s="1033"/>
      <c r="BK41" s="2113" t="s">
        <v>619</v>
      </c>
      <c r="BL41" s="1033"/>
      <c r="BM41" s="2113" t="s">
        <v>619</v>
      </c>
      <c r="BN41" s="1033"/>
      <c r="BO41" s="2113" t="s">
        <v>619</v>
      </c>
      <c r="BP41" s="1033"/>
      <c r="BQ41" s="2113" t="s">
        <v>619</v>
      </c>
      <c r="BR41" s="1033"/>
      <c r="BS41" s="311"/>
      <c r="CF41" s="767">
        <v>0</v>
      </c>
    </row>
    <row s="1644" customFormat="1" customHeight="1" ht="45" hidden="1">
      <c r="A42" s="2401"/>
      <c r="B42" s="520"/>
      <c r="D42" s="674" t="s">
        <v>397</v>
      </c>
      <c r="E42" s="732" t="s">
        <v>967</v>
      </c>
      <c r="F42" s="669" t="s">
        <v>631</v>
      </c>
      <c r="G42" s="566"/>
      <c r="H42" s="1033"/>
      <c r="I42" s="566"/>
      <c r="J42" s="1033"/>
      <c r="K42" s="566"/>
      <c r="L42" s="1033"/>
      <c r="M42" s="566"/>
      <c r="N42" s="1033"/>
      <c r="O42" s="566"/>
      <c r="P42" s="1033"/>
      <c r="Q42" s="566"/>
      <c r="R42" s="1033"/>
      <c r="S42" s="566"/>
      <c r="T42" s="1033"/>
      <c r="U42" s="566"/>
      <c r="V42" s="1033"/>
      <c r="W42" s="566"/>
      <c r="X42" s="1033"/>
      <c r="Y42" s="566"/>
      <c r="Z42" s="1033"/>
      <c r="AA42" s="566"/>
      <c r="AB42" s="1033"/>
      <c r="AC42" s="566"/>
      <c r="AD42" s="1033"/>
      <c r="AE42" s="566"/>
      <c r="AF42" s="1033"/>
      <c r="AG42" s="566"/>
      <c r="AH42" s="1033"/>
      <c r="AI42" s="566"/>
      <c r="AJ42" s="1033"/>
      <c r="AK42" s="566"/>
      <c r="AL42" s="1033"/>
      <c r="AM42" s="566"/>
      <c r="AN42" s="1033"/>
      <c r="AO42" s="566"/>
      <c r="AP42" s="1033"/>
      <c r="AQ42" s="566"/>
      <c r="AR42" s="1033"/>
      <c r="AS42" s="566"/>
      <c r="AT42" s="1033"/>
      <c r="AU42" s="566"/>
      <c r="AV42" s="1033"/>
      <c r="AW42" s="566"/>
      <c r="AX42" s="1033"/>
      <c r="AY42" s="566"/>
      <c r="AZ42" s="1033"/>
      <c r="BA42" s="566"/>
      <c r="BB42" s="1033"/>
      <c r="BC42" s="566"/>
      <c r="BD42" s="1033"/>
      <c r="BE42" s="566"/>
      <c r="BF42" s="1033"/>
      <c r="BG42" s="566"/>
      <c r="BH42" s="1033"/>
      <c r="BI42" s="566"/>
      <c r="BJ42" s="1033"/>
      <c r="BK42" s="566"/>
      <c r="BL42" s="1033"/>
      <c r="BM42" s="566"/>
      <c r="BN42" s="1033"/>
      <c r="BO42" s="566"/>
      <c r="BP42" s="1033"/>
      <c r="BQ42" s="566"/>
      <c r="BR42" s="1033"/>
      <c r="BS42" s="311" t="s">
        <v>968</v>
      </c>
      <c r="CF42" s="767">
        <v>0</v>
      </c>
    </row>
    <row s="1644" customFormat="1" customHeight="1" ht="45" hidden="1">
      <c r="A43" s="2401"/>
      <c r="B43" s="520"/>
      <c r="D43" s="674" t="s">
        <v>405</v>
      </c>
      <c r="E43" s="676" t="s">
        <v>969</v>
      </c>
      <c r="F43" s="1037" t="s">
        <v>631</v>
      </c>
      <c r="G43" s="751"/>
      <c r="H43" s="1032"/>
      <c r="I43" s="751"/>
      <c r="J43" s="1032"/>
      <c r="K43" s="751"/>
      <c r="L43" s="1032"/>
      <c r="M43" s="751"/>
      <c r="N43" s="1032"/>
      <c r="O43" s="751"/>
      <c r="P43" s="1032"/>
      <c r="Q43" s="751"/>
      <c r="R43" s="1032"/>
      <c r="S43" s="751"/>
      <c r="T43" s="1032"/>
      <c r="U43" s="751"/>
      <c r="V43" s="1032"/>
      <c r="W43" s="751"/>
      <c r="X43" s="1032"/>
      <c r="Y43" s="751"/>
      <c r="Z43" s="1032"/>
      <c r="AA43" s="751"/>
      <c r="AB43" s="1032"/>
      <c r="AC43" s="751"/>
      <c r="AD43" s="1032"/>
      <c r="AE43" s="751"/>
      <c r="AF43" s="1032"/>
      <c r="AG43" s="751"/>
      <c r="AH43" s="1032"/>
      <c r="AI43" s="751"/>
      <c r="AJ43" s="1032"/>
      <c r="AK43" s="751"/>
      <c r="AL43" s="1032"/>
      <c r="AM43" s="751"/>
      <c r="AN43" s="1032"/>
      <c r="AO43" s="751"/>
      <c r="AP43" s="1032"/>
      <c r="AQ43" s="751"/>
      <c r="AR43" s="1032"/>
      <c r="AS43" s="751"/>
      <c r="AT43" s="1032"/>
      <c r="AU43" s="751"/>
      <c r="AV43" s="1032"/>
      <c r="AW43" s="751"/>
      <c r="AX43" s="1032"/>
      <c r="AY43" s="751"/>
      <c r="AZ43" s="1032"/>
      <c r="BA43" s="751"/>
      <c r="BB43" s="1032"/>
      <c r="BC43" s="751"/>
      <c r="BD43" s="1032"/>
      <c r="BE43" s="751"/>
      <c r="BF43" s="1032"/>
      <c r="BG43" s="751"/>
      <c r="BH43" s="1032"/>
      <c r="BI43" s="751"/>
      <c r="BJ43" s="1032"/>
      <c r="BK43" s="751"/>
      <c r="BL43" s="1032"/>
      <c r="BM43" s="751"/>
      <c r="BN43" s="1032"/>
      <c r="BO43" s="751"/>
      <c r="BP43" s="1032"/>
      <c r="BQ43" s="751"/>
      <c r="BR43" s="1032"/>
      <c r="BS43" s="311" t="s">
        <v>970</v>
      </c>
      <c r="CF43" s="767">
        <v>0</v>
      </c>
    </row>
    <row s="1644" customFormat="1" customHeight="1" ht="11.25" hidden="1">
      <c r="A44" s="2401"/>
      <c r="B44" s="520"/>
      <c r="D44" s="674" t="s">
        <v>91</v>
      </c>
      <c r="E44" s="675" t="s">
        <v>971</v>
      </c>
      <c r="F44" s="669" t="s">
        <v>961</v>
      </c>
      <c r="G44" s="677"/>
      <c r="H44" s="1032"/>
      <c r="I44" s="677"/>
      <c r="J44" s="1032"/>
      <c r="K44" s="1178"/>
      <c r="L44" s="1032"/>
      <c r="M44" s="1178"/>
      <c r="N44" s="1032"/>
      <c r="O44" s="1178"/>
      <c r="P44" s="1032"/>
      <c r="Q44" s="1178"/>
      <c r="R44" s="1032"/>
      <c r="S44" s="1178"/>
      <c r="T44" s="1032"/>
      <c r="U44" s="1178"/>
      <c r="V44" s="1032"/>
      <c r="W44" s="1178"/>
      <c r="X44" s="1032"/>
      <c r="Y44" s="1178"/>
      <c r="Z44" s="1032"/>
      <c r="AA44" s="1178"/>
      <c r="AB44" s="1032"/>
      <c r="AC44" s="1178"/>
      <c r="AD44" s="1032"/>
      <c r="AE44" s="1178"/>
      <c r="AF44" s="1032"/>
      <c r="AG44" s="1178"/>
      <c r="AH44" s="1032"/>
      <c r="AI44" s="1178"/>
      <c r="AJ44" s="1032"/>
      <c r="AK44" s="1178"/>
      <c r="AL44" s="1032"/>
      <c r="AM44" s="1178"/>
      <c r="AN44" s="1032"/>
      <c r="AO44" s="1178"/>
      <c r="AP44" s="1032"/>
      <c r="AQ44" s="1178"/>
      <c r="AR44" s="1032"/>
      <c r="AS44" s="1178"/>
      <c r="AT44" s="1032"/>
      <c r="AU44" s="1178"/>
      <c r="AV44" s="1032"/>
      <c r="AW44" s="1178"/>
      <c r="AX44" s="1032"/>
      <c r="AY44" s="1178"/>
      <c r="AZ44" s="1032"/>
      <c r="BA44" s="1178"/>
      <c r="BB44" s="1032"/>
      <c r="BC44" s="1178"/>
      <c r="BD44" s="1032"/>
      <c r="BE44" s="1178"/>
      <c r="BF44" s="1032"/>
      <c r="BG44" s="1178"/>
      <c r="BH44" s="1032"/>
      <c r="BI44" s="1178"/>
      <c r="BJ44" s="1032"/>
      <c r="BK44" s="1178"/>
      <c r="BL44" s="1032"/>
      <c r="BM44" s="1178"/>
      <c r="BN44" s="1032"/>
      <c r="BO44" s="1178"/>
      <c r="BP44" s="1032"/>
      <c r="BQ44" s="1178"/>
      <c r="BR44" s="1032"/>
      <c r="BS44" s="298"/>
      <c r="CF44" s="767">
        <v>0</v>
      </c>
    </row>
    <row s="1644" customFormat="1" customHeight="1" ht="11.25" hidden="1">
      <c r="A45" s="2401"/>
      <c r="B45" s="520"/>
      <c r="D45" s="674" t="s">
        <v>856</v>
      </c>
      <c r="E45" s="676" t="s">
        <v>972</v>
      </c>
      <c r="F45" s="669" t="s">
        <v>961</v>
      </c>
      <c r="G45" s="677"/>
      <c r="H45" s="1032"/>
      <c r="I45" s="677"/>
      <c r="J45" s="1032"/>
      <c r="K45" s="1178"/>
      <c r="L45" s="1032"/>
      <c r="M45" s="1178"/>
      <c r="N45" s="1032"/>
      <c r="O45" s="1178"/>
      <c r="P45" s="1032"/>
      <c r="Q45" s="1178"/>
      <c r="R45" s="1032"/>
      <c r="S45" s="1178"/>
      <c r="T45" s="1032"/>
      <c r="U45" s="1178"/>
      <c r="V45" s="1032"/>
      <c r="W45" s="1178"/>
      <c r="X45" s="1032"/>
      <c r="Y45" s="1178"/>
      <c r="Z45" s="1032"/>
      <c r="AA45" s="1178"/>
      <c r="AB45" s="1032"/>
      <c r="AC45" s="1178"/>
      <c r="AD45" s="1032"/>
      <c r="AE45" s="1178"/>
      <c r="AF45" s="1032"/>
      <c r="AG45" s="1178"/>
      <c r="AH45" s="1032"/>
      <c r="AI45" s="1178"/>
      <c r="AJ45" s="1032"/>
      <c r="AK45" s="1178"/>
      <c r="AL45" s="1032"/>
      <c r="AM45" s="1178"/>
      <c r="AN45" s="1032"/>
      <c r="AO45" s="1178"/>
      <c r="AP45" s="1032"/>
      <c r="AQ45" s="1178"/>
      <c r="AR45" s="1032"/>
      <c r="AS45" s="1178"/>
      <c r="AT45" s="1032"/>
      <c r="AU45" s="1178"/>
      <c r="AV45" s="1032"/>
      <c r="AW45" s="1178"/>
      <c r="AX45" s="1032"/>
      <c r="AY45" s="1178"/>
      <c r="AZ45" s="1032"/>
      <c r="BA45" s="1178"/>
      <c r="BB45" s="1032"/>
      <c r="BC45" s="1178"/>
      <c r="BD45" s="1032"/>
      <c r="BE45" s="1178"/>
      <c r="BF45" s="1032"/>
      <c r="BG45" s="1178"/>
      <c r="BH45" s="1032"/>
      <c r="BI45" s="1178"/>
      <c r="BJ45" s="1032"/>
      <c r="BK45" s="1178"/>
      <c r="BL45" s="1032"/>
      <c r="BM45" s="1178"/>
      <c r="BN45" s="1032"/>
      <c r="BO45" s="1178"/>
      <c r="BP45" s="1032"/>
      <c r="BQ45" s="1178"/>
      <c r="BR45" s="1032"/>
      <c r="BS45" s="298"/>
      <c r="CF45" s="767">
        <v>0</v>
      </c>
    </row>
    <row s="1644" customFormat="1" customHeight="1" ht="11.25" hidden="1">
      <c r="A46" s="2401"/>
      <c r="B46" s="520"/>
      <c r="D46" s="674" t="s">
        <v>898</v>
      </c>
      <c r="E46" s="676" t="s">
        <v>973</v>
      </c>
      <c r="F46" s="669" t="s">
        <v>961</v>
      </c>
      <c r="G46" s="677"/>
      <c r="H46" s="1032"/>
      <c r="I46" s="677"/>
      <c r="J46" s="1032"/>
      <c r="K46" s="1178"/>
      <c r="L46" s="1032"/>
      <c r="M46" s="1178"/>
      <c r="N46" s="1032"/>
      <c r="O46" s="1178"/>
      <c r="P46" s="1032"/>
      <c r="Q46" s="1178"/>
      <c r="R46" s="1032"/>
      <c r="S46" s="1178"/>
      <c r="T46" s="1032"/>
      <c r="U46" s="1178"/>
      <c r="V46" s="1032"/>
      <c r="W46" s="1178"/>
      <c r="X46" s="1032"/>
      <c r="Y46" s="1178"/>
      <c r="Z46" s="1032"/>
      <c r="AA46" s="1178"/>
      <c r="AB46" s="1032"/>
      <c r="AC46" s="1178"/>
      <c r="AD46" s="1032"/>
      <c r="AE46" s="1178"/>
      <c r="AF46" s="1032"/>
      <c r="AG46" s="1178"/>
      <c r="AH46" s="1032"/>
      <c r="AI46" s="1178"/>
      <c r="AJ46" s="1032"/>
      <c r="AK46" s="1178"/>
      <c r="AL46" s="1032"/>
      <c r="AM46" s="1178"/>
      <c r="AN46" s="1032"/>
      <c r="AO46" s="1178"/>
      <c r="AP46" s="1032"/>
      <c r="AQ46" s="1178"/>
      <c r="AR46" s="1032"/>
      <c r="AS46" s="1178"/>
      <c r="AT46" s="1032"/>
      <c r="AU46" s="1178"/>
      <c r="AV46" s="1032"/>
      <c r="AW46" s="1178"/>
      <c r="AX46" s="1032"/>
      <c r="AY46" s="1178"/>
      <c r="AZ46" s="1032"/>
      <c r="BA46" s="1178"/>
      <c r="BB46" s="1032"/>
      <c r="BC46" s="1178"/>
      <c r="BD46" s="1032"/>
      <c r="BE46" s="1178"/>
      <c r="BF46" s="1032"/>
      <c r="BG46" s="1178"/>
      <c r="BH46" s="1032"/>
      <c r="BI46" s="1178"/>
      <c r="BJ46" s="1032"/>
      <c r="BK46" s="1178"/>
      <c r="BL46" s="1032"/>
      <c r="BM46" s="1178"/>
      <c r="BN46" s="1032"/>
      <c r="BO46" s="1178"/>
      <c r="BP46" s="1032"/>
      <c r="BQ46" s="1178"/>
      <c r="BR46" s="1032"/>
      <c r="BS46" s="298"/>
      <c r="CF46" s="767">
        <v>0</v>
      </c>
    </row>
    <row s="1644" customFormat="1" customHeight="1" ht="11.25" hidden="1">
      <c r="A47" s="2401"/>
      <c r="B47" s="520"/>
      <c r="D47" s="674" t="s">
        <v>901</v>
      </c>
      <c r="E47" s="676" t="s">
        <v>974</v>
      </c>
      <c r="F47" s="669" t="s">
        <v>961</v>
      </c>
      <c r="G47" s="677"/>
      <c r="H47" s="1032"/>
      <c r="I47" s="677"/>
      <c r="J47" s="1032"/>
      <c r="K47" s="1178"/>
      <c r="L47" s="1032"/>
      <c r="M47" s="1178"/>
      <c r="N47" s="1032"/>
      <c r="O47" s="1178"/>
      <c r="P47" s="1032"/>
      <c r="Q47" s="1178"/>
      <c r="R47" s="1032"/>
      <c r="S47" s="1178"/>
      <c r="T47" s="1032"/>
      <c r="U47" s="1178"/>
      <c r="V47" s="1032"/>
      <c r="W47" s="1178"/>
      <c r="X47" s="1032"/>
      <c r="Y47" s="1178"/>
      <c r="Z47" s="1032"/>
      <c r="AA47" s="1178"/>
      <c r="AB47" s="1032"/>
      <c r="AC47" s="1178"/>
      <c r="AD47" s="1032"/>
      <c r="AE47" s="1178"/>
      <c r="AF47" s="1032"/>
      <c r="AG47" s="1178"/>
      <c r="AH47" s="1032"/>
      <c r="AI47" s="1178"/>
      <c r="AJ47" s="1032"/>
      <c r="AK47" s="1178"/>
      <c r="AL47" s="1032"/>
      <c r="AM47" s="1178"/>
      <c r="AN47" s="1032"/>
      <c r="AO47" s="1178"/>
      <c r="AP47" s="1032"/>
      <c r="AQ47" s="1178"/>
      <c r="AR47" s="1032"/>
      <c r="AS47" s="1178"/>
      <c r="AT47" s="1032"/>
      <c r="AU47" s="1178"/>
      <c r="AV47" s="1032"/>
      <c r="AW47" s="1178"/>
      <c r="AX47" s="1032"/>
      <c r="AY47" s="1178"/>
      <c r="AZ47" s="1032"/>
      <c r="BA47" s="1178"/>
      <c r="BB47" s="1032"/>
      <c r="BC47" s="1178"/>
      <c r="BD47" s="1032"/>
      <c r="BE47" s="1178"/>
      <c r="BF47" s="1032"/>
      <c r="BG47" s="1178"/>
      <c r="BH47" s="1032"/>
      <c r="BI47" s="1178"/>
      <c r="BJ47" s="1032"/>
      <c r="BK47" s="1178"/>
      <c r="BL47" s="1032"/>
      <c r="BM47" s="1178"/>
      <c r="BN47" s="1032"/>
      <c r="BO47" s="1178"/>
      <c r="BP47" s="1032"/>
      <c r="BQ47" s="1178"/>
      <c r="BR47" s="1032"/>
      <c r="BS47" s="298"/>
      <c r="CF47" s="767">
        <v>0</v>
      </c>
    </row>
    <row s="1644" customFormat="1" customHeight="1" ht="11.25" hidden="1">
      <c r="A48" s="2401"/>
      <c r="B48" s="520"/>
      <c r="D48" s="674" t="s">
        <v>975</v>
      </c>
      <c r="E48" s="680" t="s">
        <v>976</v>
      </c>
      <c r="F48" s="669" t="s">
        <v>961</v>
      </c>
      <c r="G48" s="677"/>
      <c r="H48" s="1032"/>
      <c r="I48" s="677"/>
      <c r="J48" s="1032"/>
      <c r="K48" s="1178"/>
      <c r="L48" s="1032"/>
      <c r="M48" s="1178"/>
      <c r="N48" s="1032"/>
      <c r="O48" s="1178"/>
      <c r="P48" s="1032"/>
      <c r="Q48" s="1178"/>
      <c r="R48" s="1032"/>
      <c r="S48" s="1178"/>
      <c r="T48" s="1032"/>
      <c r="U48" s="1178"/>
      <c r="V48" s="1032"/>
      <c r="W48" s="1178"/>
      <c r="X48" s="1032"/>
      <c r="Y48" s="1178"/>
      <c r="Z48" s="1032"/>
      <c r="AA48" s="1178"/>
      <c r="AB48" s="1032"/>
      <c r="AC48" s="1178"/>
      <c r="AD48" s="1032"/>
      <c r="AE48" s="1178"/>
      <c r="AF48" s="1032"/>
      <c r="AG48" s="1178"/>
      <c r="AH48" s="1032"/>
      <c r="AI48" s="1178"/>
      <c r="AJ48" s="1032"/>
      <c r="AK48" s="1178"/>
      <c r="AL48" s="1032"/>
      <c r="AM48" s="1178"/>
      <c r="AN48" s="1032"/>
      <c r="AO48" s="1178"/>
      <c r="AP48" s="1032"/>
      <c r="AQ48" s="1178"/>
      <c r="AR48" s="1032"/>
      <c r="AS48" s="1178"/>
      <c r="AT48" s="1032"/>
      <c r="AU48" s="1178"/>
      <c r="AV48" s="1032"/>
      <c r="AW48" s="1178"/>
      <c r="AX48" s="1032"/>
      <c r="AY48" s="1178"/>
      <c r="AZ48" s="1032"/>
      <c r="BA48" s="1178"/>
      <c r="BB48" s="1032"/>
      <c r="BC48" s="1178"/>
      <c r="BD48" s="1032"/>
      <c r="BE48" s="1178"/>
      <c r="BF48" s="1032"/>
      <c r="BG48" s="1178"/>
      <c r="BH48" s="1032"/>
      <c r="BI48" s="1178"/>
      <c r="BJ48" s="1032"/>
      <c r="BK48" s="1178"/>
      <c r="BL48" s="1032"/>
      <c r="BM48" s="1178"/>
      <c r="BN48" s="1032"/>
      <c r="BO48" s="1178"/>
      <c r="BP48" s="1032"/>
      <c r="BQ48" s="1178"/>
      <c r="BR48" s="1032"/>
      <c r="BS48" s="298"/>
      <c r="CF48" s="767">
        <v>0</v>
      </c>
    </row>
    <row s="1644" customFormat="1" customHeight="1" ht="11.25" hidden="1">
      <c r="A49" s="2401"/>
      <c r="B49" s="520"/>
      <c r="D49" s="674" t="s">
        <v>977</v>
      </c>
      <c r="E49" s="680" t="s">
        <v>978</v>
      </c>
      <c r="F49" s="669" t="s">
        <v>961</v>
      </c>
      <c r="G49" s="677"/>
      <c r="H49" s="1032"/>
      <c r="I49" s="677"/>
      <c r="J49" s="1032"/>
      <c r="K49" s="1178"/>
      <c r="L49" s="1032"/>
      <c r="M49" s="1178"/>
      <c r="N49" s="1032"/>
      <c r="O49" s="1178"/>
      <c r="P49" s="1032"/>
      <c r="Q49" s="1178"/>
      <c r="R49" s="1032"/>
      <c r="S49" s="1178"/>
      <c r="T49" s="1032"/>
      <c r="U49" s="1178"/>
      <c r="V49" s="1032"/>
      <c r="W49" s="1178"/>
      <c r="X49" s="1032"/>
      <c r="Y49" s="1178"/>
      <c r="Z49" s="1032"/>
      <c r="AA49" s="1178"/>
      <c r="AB49" s="1032"/>
      <c r="AC49" s="1178"/>
      <c r="AD49" s="1032"/>
      <c r="AE49" s="1178"/>
      <c r="AF49" s="1032"/>
      <c r="AG49" s="1178"/>
      <c r="AH49" s="1032"/>
      <c r="AI49" s="1178"/>
      <c r="AJ49" s="1032"/>
      <c r="AK49" s="1178"/>
      <c r="AL49" s="1032"/>
      <c r="AM49" s="1178"/>
      <c r="AN49" s="1032"/>
      <c r="AO49" s="1178"/>
      <c r="AP49" s="1032"/>
      <c r="AQ49" s="1178"/>
      <c r="AR49" s="1032"/>
      <c r="AS49" s="1178"/>
      <c r="AT49" s="1032"/>
      <c r="AU49" s="1178"/>
      <c r="AV49" s="1032"/>
      <c r="AW49" s="1178"/>
      <c r="AX49" s="1032"/>
      <c r="AY49" s="1178"/>
      <c r="AZ49" s="1032"/>
      <c r="BA49" s="1178"/>
      <c r="BB49" s="1032"/>
      <c r="BC49" s="1178"/>
      <c r="BD49" s="1032"/>
      <c r="BE49" s="1178"/>
      <c r="BF49" s="1032"/>
      <c r="BG49" s="1178"/>
      <c r="BH49" s="1032"/>
      <c r="BI49" s="1178"/>
      <c r="BJ49" s="1032"/>
      <c r="BK49" s="1178"/>
      <c r="BL49" s="1032"/>
      <c r="BM49" s="1178"/>
      <c r="BN49" s="1032"/>
      <c r="BO49" s="1178"/>
      <c r="BP49" s="1032"/>
      <c r="BQ49" s="1178"/>
      <c r="BR49" s="1032"/>
      <c r="BS49" s="298"/>
      <c r="CF49" s="767">
        <v>0</v>
      </c>
    </row>
    <row s="1644" customFormat="1" customHeight="1" ht="11.25" hidden="1">
      <c r="A50" s="2401"/>
      <c r="B50" s="520"/>
      <c r="D50" s="674" t="s">
        <v>979</v>
      </c>
      <c r="E50" s="676" t="s">
        <v>980</v>
      </c>
      <c r="F50" s="669" t="s">
        <v>961</v>
      </c>
      <c r="G50" s="677"/>
      <c r="H50" s="1032"/>
      <c r="I50" s="677"/>
      <c r="J50" s="1032"/>
      <c r="K50" s="1178"/>
      <c r="L50" s="1032"/>
      <c r="M50" s="1178"/>
      <c r="N50" s="1032"/>
      <c r="O50" s="1178"/>
      <c r="P50" s="1032"/>
      <c r="Q50" s="1178"/>
      <c r="R50" s="1032"/>
      <c r="S50" s="1178"/>
      <c r="T50" s="1032"/>
      <c r="U50" s="1178"/>
      <c r="V50" s="1032"/>
      <c r="W50" s="1178"/>
      <c r="X50" s="1032"/>
      <c r="Y50" s="1178"/>
      <c r="Z50" s="1032"/>
      <c r="AA50" s="1178"/>
      <c r="AB50" s="1032"/>
      <c r="AC50" s="1178"/>
      <c r="AD50" s="1032"/>
      <c r="AE50" s="1178"/>
      <c r="AF50" s="1032"/>
      <c r="AG50" s="1178"/>
      <c r="AH50" s="1032"/>
      <c r="AI50" s="1178"/>
      <c r="AJ50" s="1032"/>
      <c r="AK50" s="1178"/>
      <c r="AL50" s="1032"/>
      <c r="AM50" s="1178"/>
      <c r="AN50" s="1032"/>
      <c r="AO50" s="1178"/>
      <c r="AP50" s="1032"/>
      <c r="AQ50" s="1178"/>
      <c r="AR50" s="1032"/>
      <c r="AS50" s="1178"/>
      <c r="AT50" s="1032"/>
      <c r="AU50" s="1178"/>
      <c r="AV50" s="1032"/>
      <c r="AW50" s="1178"/>
      <c r="AX50" s="1032"/>
      <c r="AY50" s="1178"/>
      <c r="AZ50" s="1032"/>
      <c r="BA50" s="1178"/>
      <c r="BB50" s="1032"/>
      <c r="BC50" s="1178"/>
      <c r="BD50" s="1032"/>
      <c r="BE50" s="1178"/>
      <c r="BF50" s="1032"/>
      <c r="BG50" s="1178"/>
      <c r="BH50" s="1032"/>
      <c r="BI50" s="1178"/>
      <c r="BJ50" s="1032"/>
      <c r="BK50" s="1178"/>
      <c r="BL50" s="1032"/>
      <c r="BM50" s="1178"/>
      <c r="BN50" s="1032"/>
      <c r="BO50" s="1178"/>
      <c r="BP50" s="1032"/>
      <c r="BQ50" s="1178"/>
      <c r="BR50" s="1032"/>
      <c r="BS50" s="298"/>
      <c r="CF50" s="767">
        <v>0</v>
      </c>
    </row>
    <row s="1644" customFormat="1" customHeight="1" ht="11.25" hidden="1">
      <c r="A51" s="2401"/>
      <c r="B51" s="520"/>
      <c r="D51" s="674" t="s">
        <v>981</v>
      </c>
      <c r="E51" s="676" t="s">
        <v>982</v>
      </c>
      <c r="F51" s="669" t="s">
        <v>961</v>
      </c>
      <c r="G51" s="677"/>
      <c r="H51" s="1032"/>
      <c r="I51" s="677"/>
      <c r="J51" s="1032"/>
      <c r="K51" s="1178"/>
      <c r="L51" s="1032"/>
      <c r="M51" s="1178"/>
      <c r="N51" s="1032"/>
      <c r="O51" s="1178"/>
      <c r="P51" s="1032"/>
      <c r="Q51" s="1178"/>
      <c r="R51" s="1032"/>
      <c r="S51" s="1178"/>
      <c r="T51" s="1032"/>
      <c r="U51" s="1178"/>
      <c r="V51" s="1032"/>
      <c r="W51" s="1178"/>
      <c r="X51" s="1032"/>
      <c r="Y51" s="1178"/>
      <c r="Z51" s="1032"/>
      <c r="AA51" s="1178"/>
      <c r="AB51" s="1032"/>
      <c r="AC51" s="1178"/>
      <c r="AD51" s="1032"/>
      <c r="AE51" s="1178"/>
      <c r="AF51" s="1032"/>
      <c r="AG51" s="1178"/>
      <c r="AH51" s="1032"/>
      <c r="AI51" s="1178"/>
      <c r="AJ51" s="1032"/>
      <c r="AK51" s="1178"/>
      <c r="AL51" s="1032"/>
      <c r="AM51" s="1178"/>
      <c r="AN51" s="1032"/>
      <c r="AO51" s="1178"/>
      <c r="AP51" s="1032"/>
      <c r="AQ51" s="1178"/>
      <c r="AR51" s="1032"/>
      <c r="AS51" s="1178"/>
      <c r="AT51" s="1032"/>
      <c r="AU51" s="1178"/>
      <c r="AV51" s="1032"/>
      <c r="AW51" s="1178"/>
      <c r="AX51" s="1032"/>
      <c r="AY51" s="1178"/>
      <c r="AZ51" s="1032"/>
      <c r="BA51" s="1178"/>
      <c r="BB51" s="1032"/>
      <c r="BC51" s="1178"/>
      <c r="BD51" s="1032"/>
      <c r="BE51" s="1178"/>
      <c r="BF51" s="1032"/>
      <c r="BG51" s="1178"/>
      <c r="BH51" s="1032"/>
      <c r="BI51" s="1178"/>
      <c r="BJ51" s="1032"/>
      <c r="BK51" s="1178"/>
      <c r="BL51" s="1032"/>
      <c r="BM51" s="1178"/>
      <c r="BN51" s="1032"/>
      <c r="BO51" s="1178"/>
      <c r="BP51" s="1032"/>
      <c r="BQ51" s="1178"/>
      <c r="BR51" s="1032"/>
      <c r="BS51" s="298"/>
      <c r="CF51" s="767">
        <v>0</v>
      </c>
    </row>
    <row s="1644" customFormat="1" customHeight="1" ht="45" hidden="1">
      <c r="A52" s="2401"/>
      <c r="B52" s="520"/>
      <c r="D52" s="674" t="s">
        <v>111</v>
      </c>
      <c r="E52" s="675" t="s">
        <v>983</v>
      </c>
      <c r="F52" s="669" t="s">
        <v>961</v>
      </c>
      <c r="G52" s="677"/>
      <c r="H52" s="1032"/>
      <c r="I52" s="677"/>
      <c r="J52" s="1032"/>
      <c r="K52" s="1178"/>
      <c r="L52" s="1032"/>
      <c r="M52" s="1178"/>
      <c r="N52" s="1032"/>
      <c r="O52" s="1178"/>
      <c r="P52" s="1032"/>
      <c r="Q52" s="1178"/>
      <c r="R52" s="1032"/>
      <c r="S52" s="1178"/>
      <c r="T52" s="1032"/>
      <c r="U52" s="1178"/>
      <c r="V52" s="1032"/>
      <c r="W52" s="1178"/>
      <c r="X52" s="1032"/>
      <c r="Y52" s="1178"/>
      <c r="Z52" s="1032"/>
      <c r="AA52" s="1178"/>
      <c r="AB52" s="1032"/>
      <c r="AC52" s="1178"/>
      <c r="AD52" s="1032"/>
      <c r="AE52" s="1178"/>
      <c r="AF52" s="1032"/>
      <c r="AG52" s="1178"/>
      <c r="AH52" s="1032"/>
      <c r="AI52" s="1178"/>
      <c r="AJ52" s="1032"/>
      <c r="AK52" s="1178"/>
      <c r="AL52" s="1032"/>
      <c r="AM52" s="1178"/>
      <c r="AN52" s="1032"/>
      <c r="AO52" s="1178"/>
      <c r="AP52" s="1032"/>
      <c r="AQ52" s="1178"/>
      <c r="AR52" s="1032"/>
      <c r="AS52" s="1178"/>
      <c r="AT52" s="1032"/>
      <c r="AU52" s="1178"/>
      <c r="AV52" s="1032"/>
      <c r="AW52" s="1178"/>
      <c r="AX52" s="1032"/>
      <c r="AY52" s="1178"/>
      <c r="AZ52" s="1032"/>
      <c r="BA52" s="1178"/>
      <c r="BB52" s="1032"/>
      <c r="BC52" s="1178"/>
      <c r="BD52" s="1032"/>
      <c r="BE52" s="1178"/>
      <c r="BF52" s="1032"/>
      <c r="BG52" s="1178"/>
      <c r="BH52" s="1032"/>
      <c r="BI52" s="1178"/>
      <c r="BJ52" s="1032"/>
      <c r="BK52" s="1178"/>
      <c r="BL52" s="1032"/>
      <c r="BM52" s="1178"/>
      <c r="BN52" s="1032"/>
      <c r="BO52" s="1178"/>
      <c r="BP52" s="1032"/>
      <c r="BQ52" s="1178"/>
      <c r="BR52" s="1032"/>
      <c r="BS52" s="298"/>
      <c r="CF52" s="767">
        <v>0</v>
      </c>
    </row>
    <row s="1644" customFormat="1" customHeight="1" ht="11.25" hidden="1">
      <c r="A53" s="2401"/>
      <c r="B53" s="520"/>
      <c r="D53" s="674" t="s">
        <v>386</v>
      </c>
      <c r="E53" s="676" t="s">
        <v>972</v>
      </c>
      <c r="F53" s="669" t="s">
        <v>961</v>
      </c>
      <c r="G53" s="677"/>
      <c r="H53" s="1032"/>
      <c r="I53" s="677"/>
      <c r="J53" s="1032"/>
      <c r="K53" s="1178"/>
      <c r="L53" s="1032"/>
      <c r="M53" s="1178"/>
      <c r="N53" s="1032"/>
      <c r="O53" s="1178"/>
      <c r="P53" s="1032"/>
      <c r="Q53" s="1178"/>
      <c r="R53" s="1032"/>
      <c r="S53" s="1178"/>
      <c r="T53" s="1032"/>
      <c r="U53" s="1178"/>
      <c r="V53" s="1032"/>
      <c r="W53" s="1178"/>
      <c r="X53" s="1032"/>
      <c r="Y53" s="1178"/>
      <c r="Z53" s="1032"/>
      <c r="AA53" s="1178"/>
      <c r="AB53" s="1032"/>
      <c r="AC53" s="1178"/>
      <c r="AD53" s="1032"/>
      <c r="AE53" s="1178"/>
      <c r="AF53" s="1032"/>
      <c r="AG53" s="1178"/>
      <c r="AH53" s="1032"/>
      <c r="AI53" s="1178"/>
      <c r="AJ53" s="1032"/>
      <c r="AK53" s="1178"/>
      <c r="AL53" s="1032"/>
      <c r="AM53" s="1178"/>
      <c r="AN53" s="1032"/>
      <c r="AO53" s="1178"/>
      <c r="AP53" s="1032"/>
      <c r="AQ53" s="1178"/>
      <c r="AR53" s="1032"/>
      <c r="AS53" s="1178"/>
      <c r="AT53" s="1032"/>
      <c r="AU53" s="1178"/>
      <c r="AV53" s="1032"/>
      <c r="AW53" s="1178"/>
      <c r="AX53" s="1032"/>
      <c r="AY53" s="1178"/>
      <c r="AZ53" s="1032"/>
      <c r="BA53" s="1178"/>
      <c r="BB53" s="1032"/>
      <c r="BC53" s="1178"/>
      <c r="BD53" s="1032"/>
      <c r="BE53" s="1178"/>
      <c r="BF53" s="1032"/>
      <c r="BG53" s="1178"/>
      <c r="BH53" s="1032"/>
      <c r="BI53" s="1178"/>
      <c r="BJ53" s="1032"/>
      <c r="BK53" s="1178"/>
      <c r="BL53" s="1032"/>
      <c r="BM53" s="1178"/>
      <c r="BN53" s="1032"/>
      <c r="BO53" s="1178"/>
      <c r="BP53" s="1032"/>
      <c r="BQ53" s="1178"/>
      <c r="BR53" s="1032"/>
      <c r="BS53" s="298"/>
      <c r="CF53" s="767">
        <v>0</v>
      </c>
    </row>
    <row s="1644" customFormat="1" customHeight="1" ht="11.25" hidden="1">
      <c r="A54" s="2401"/>
      <c r="B54" s="520"/>
      <c r="D54" s="674" t="s">
        <v>984</v>
      </c>
      <c r="E54" s="676" t="s">
        <v>973</v>
      </c>
      <c r="F54" s="669" t="s">
        <v>961</v>
      </c>
      <c r="G54" s="677"/>
      <c r="H54" s="1032"/>
      <c r="I54" s="677"/>
      <c r="J54" s="1032"/>
      <c r="K54" s="1178"/>
      <c r="L54" s="1032"/>
      <c r="M54" s="1178"/>
      <c r="N54" s="1032"/>
      <c r="O54" s="1178"/>
      <c r="P54" s="1032"/>
      <c r="Q54" s="1178"/>
      <c r="R54" s="1032"/>
      <c r="S54" s="1178"/>
      <c r="T54" s="1032"/>
      <c r="U54" s="1178"/>
      <c r="V54" s="1032"/>
      <c r="W54" s="1178"/>
      <c r="X54" s="1032"/>
      <c r="Y54" s="1178"/>
      <c r="Z54" s="1032"/>
      <c r="AA54" s="1178"/>
      <c r="AB54" s="1032"/>
      <c r="AC54" s="1178"/>
      <c r="AD54" s="1032"/>
      <c r="AE54" s="1178"/>
      <c r="AF54" s="1032"/>
      <c r="AG54" s="1178"/>
      <c r="AH54" s="1032"/>
      <c r="AI54" s="1178"/>
      <c r="AJ54" s="1032"/>
      <c r="AK54" s="1178"/>
      <c r="AL54" s="1032"/>
      <c r="AM54" s="1178"/>
      <c r="AN54" s="1032"/>
      <c r="AO54" s="1178"/>
      <c r="AP54" s="1032"/>
      <c r="AQ54" s="1178"/>
      <c r="AR54" s="1032"/>
      <c r="AS54" s="1178"/>
      <c r="AT54" s="1032"/>
      <c r="AU54" s="1178"/>
      <c r="AV54" s="1032"/>
      <c r="AW54" s="1178"/>
      <c r="AX54" s="1032"/>
      <c r="AY54" s="1178"/>
      <c r="AZ54" s="1032"/>
      <c r="BA54" s="1178"/>
      <c r="BB54" s="1032"/>
      <c r="BC54" s="1178"/>
      <c r="BD54" s="1032"/>
      <c r="BE54" s="1178"/>
      <c r="BF54" s="1032"/>
      <c r="BG54" s="1178"/>
      <c r="BH54" s="1032"/>
      <c r="BI54" s="1178"/>
      <c r="BJ54" s="1032"/>
      <c r="BK54" s="1178"/>
      <c r="BL54" s="1032"/>
      <c r="BM54" s="1178"/>
      <c r="BN54" s="1032"/>
      <c r="BO54" s="1178"/>
      <c r="BP54" s="1032"/>
      <c r="BQ54" s="1178"/>
      <c r="BR54" s="1032"/>
      <c r="BS54" s="298"/>
      <c r="CF54" s="767">
        <v>0</v>
      </c>
    </row>
    <row s="1644" customFormat="1" customHeight="1" ht="11.25" hidden="1">
      <c r="A55" s="2401"/>
      <c r="B55" s="520"/>
      <c r="D55" s="674" t="s">
        <v>985</v>
      </c>
      <c r="E55" s="676" t="s">
        <v>974</v>
      </c>
      <c r="F55" s="669" t="s">
        <v>961</v>
      </c>
      <c r="G55" s="677"/>
      <c r="H55" s="1032"/>
      <c r="I55" s="677"/>
      <c r="J55" s="1032"/>
      <c r="K55" s="1178"/>
      <c r="L55" s="1032"/>
      <c r="M55" s="1178"/>
      <c r="N55" s="1032"/>
      <c r="O55" s="1178"/>
      <c r="P55" s="1032"/>
      <c r="Q55" s="1178"/>
      <c r="R55" s="1032"/>
      <c r="S55" s="1178"/>
      <c r="T55" s="1032"/>
      <c r="U55" s="1178"/>
      <c r="V55" s="1032"/>
      <c r="W55" s="1178"/>
      <c r="X55" s="1032"/>
      <c r="Y55" s="1178"/>
      <c r="Z55" s="1032"/>
      <c r="AA55" s="1178"/>
      <c r="AB55" s="1032"/>
      <c r="AC55" s="1178"/>
      <c r="AD55" s="1032"/>
      <c r="AE55" s="1178"/>
      <c r="AF55" s="1032"/>
      <c r="AG55" s="1178"/>
      <c r="AH55" s="1032"/>
      <c r="AI55" s="1178"/>
      <c r="AJ55" s="1032"/>
      <c r="AK55" s="1178"/>
      <c r="AL55" s="1032"/>
      <c r="AM55" s="1178"/>
      <c r="AN55" s="1032"/>
      <c r="AO55" s="1178"/>
      <c r="AP55" s="1032"/>
      <c r="AQ55" s="1178"/>
      <c r="AR55" s="1032"/>
      <c r="AS55" s="1178"/>
      <c r="AT55" s="1032"/>
      <c r="AU55" s="1178"/>
      <c r="AV55" s="1032"/>
      <c r="AW55" s="1178"/>
      <c r="AX55" s="1032"/>
      <c r="AY55" s="1178"/>
      <c r="AZ55" s="1032"/>
      <c r="BA55" s="1178"/>
      <c r="BB55" s="1032"/>
      <c r="BC55" s="1178"/>
      <c r="BD55" s="1032"/>
      <c r="BE55" s="1178"/>
      <c r="BF55" s="1032"/>
      <c r="BG55" s="1178"/>
      <c r="BH55" s="1032"/>
      <c r="BI55" s="1178"/>
      <c r="BJ55" s="1032"/>
      <c r="BK55" s="1178"/>
      <c r="BL55" s="1032"/>
      <c r="BM55" s="1178"/>
      <c r="BN55" s="1032"/>
      <c r="BO55" s="1178"/>
      <c r="BP55" s="1032"/>
      <c r="BQ55" s="1178"/>
      <c r="BR55" s="1032"/>
      <c r="BS55" s="298"/>
      <c r="CF55" s="767">
        <v>0</v>
      </c>
    </row>
    <row s="1644" customFormat="1" customHeight="1" ht="11.25" hidden="1">
      <c r="A56" s="2401"/>
      <c r="B56" s="520"/>
      <c r="D56" s="674" t="s">
        <v>986</v>
      </c>
      <c r="E56" s="680" t="s">
        <v>976</v>
      </c>
      <c r="F56" s="669" t="s">
        <v>961</v>
      </c>
      <c r="G56" s="677"/>
      <c r="H56" s="1032"/>
      <c r="I56" s="677"/>
      <c r="J56" s="1032"/>
      <c r="K56" s="1178"/>
      <c r="L56" s="1032"/>
      <c r="M56" s="1178"/>
      <c r="N56" s="1032"/>
      <c r="O56" s="1178"/>
      <c r="P56" s="1032"/>
      <c r="Q56" s="1178"/>
      <c r="R56" s="1032"/>
      <c r="S56" s="1178"/>
      <c r="T56" s="1032"/>
      <c r="U56" s="1178"/>
      <c r="V56" s="1032"/>
      <c r="W56" s="1178"/>
      <c r="X56" s="1032"/>
      <c r="Y56" s="1178"/>
      <c r="Z56" s="1032"/>
      <c r="AA56" s="1178"/>
      <c r="AB56" s="1032"/>
      <c r="AC56" s="1178"/>
      <c r="AD56" s="1032"/>
      <c r="AE56" s="1178"/>
      <c r="AF56" s="1032"/>
      <c r="AG56" s="1178"/>
      <c r="AH56" s="1032"/>
      <c r="AI56" s="1178"/>
      <c r="AJ56" s="1032"/>
      <c r="AK56" s="1178"/>
      <c r="AL56" s="1032"/>
      <c r="AM56" s="1178"/>
      <c r="AN56" s="1032"/>
      <c r="AO56" s="1178"/>
      <c r="AP56" s="1032"/>
      <c r="AQ56" s="1178"/>
      <c r="AR56" s="1032"/>
      <c r="AS56" s="1178"/>
      <c r="AT56" s="1032"/>
      <c r="AU56" s="1178"/>
      <c r="AV56" s="1032"/>
      <c r="AW56" s="1178"/>
      <c r="AX56" s="1032"/>
      <c r="AY56" s="1178"/>
      <c r="AZ56" s="1032"/>
      <c r="BA56" s="1178"/>
      <c r="BB56" s="1032"/>
      <c r="BC56" s="1178"/>
      <c r="BD56" s="1032"/>
      <c r="BE56" s="1178"/>
      <c r="BF56" s="1032"/>
      <c r="BG56" s="1178"/>
      <c r="BH56" s="1032"/>
      <c r="BI56" s="1178"/>
      <c r="BJ56" s="1032"/>
      <c r="BK56" s="1178"/>
      <c r="BL56" s="1032"/>
      <c r="BM56" s="1178"/>
      <c r="BN56" s="1032"/>
      <c r="BO56" s="1178"/>
      <c r="BP56" s="1032"/>
      <c r="BQ56" s="1178"/>
      <c r="BR56" s="1032"/>
      <c r="BS56" s="298"/>
      <c r="CF56" s="767">
        <v>0</v>
      </c>
    </row>
    <row s="1644" customFormat="1" customHeight="1" ht="11.25" hidden="1">
      <c r="A57" s="2401"/>
      <c r="B57" s="520"/>
      <c r="D57" s="674" t="s">
        <v>987</v>
      </c>
      <c r="E57" s="680" t="s">
        <v>978</v>
      </c>
      <c r="F57" s="669" t="s">
        <v>961</v>
      </c>
      <c r="G57" s="677"/>
      <c r="H57" s="1032"/>
      <c r="I57" s="677"/>
      <c r="J57" s="1032"/>
      <c r="K57" s="1178"/>
      <c r="L57" s="1032"/>
      <c r="M57" s="1178"/>
      <c r="N57" s="1032"/>
      <c r="O57" s="1178"/>
      <c r="P57" s="1032"/>
      <c r="Q57" s="1178"/>
      <c r="R57" s="1032"/>
      <c r="S57" s="1178"/>
      <c r="T57" s="1032"/>
      <c r="U57" s="1178"/>
      <c r="V57" s="1032"/>
      <c r="W57" s="1178"/>
      <c r="X57" s="1032"/>
      <c r="Y57" s="1178"/>
      <c r="Z57" s="1032"/>
      <c r="AA57" s="1178"/>
      <c r="AB57" s="1032"/>
      <c r="AC57" s="1178"/>
      <c r="AD57" s="1032"/>
      <c r="AE57" s="1178"/>
      <c r="AF57" s="1032"/>
      <c r="AG57" s="1178"/>
      <c r="AH57" s="1032"/>
      <c r="AI57" s="1178"/>
      <c r="AJ57" s="1032"/>
      <c r="AK57" s="1178"/>
      <c r="AL57" s="1032"/>
      <c r="AM57" s="1178"/>
      <c r="AN57" s="1032"/>
      <c r="AO57" s="1178"/>
      <c r="AP57" s="1032"/>
      <c r="AQ57" s="1178"/>
      <c r="AR57" s="1032"/>
      <c r="AS57" s="1178"/>
      <c r="AT57" s="1032"/>
      <c r="AU57" s="1178"/>
      <c r="AV57" s="1032"/>
      <c r="AW57" s="1178"/>
      <c r="AX57" s="1032"/>
      <c r="AY57" s="1178"/>
      <c r="AZ57" s="1032"/>
      <c r="BA57" s="1178"/>
      <c r="BB57" s="1032"/>
      <c r="BC57" s="1178"/>
      <c r="BD57" s="1032"/>
      <c r="BE57" s="1178"/>
      <c r="BF57" s="1032"/>
      <c r="BG57" s="1178"/>
      <c r="BH57" s="1032"/>
      <c r="BI57" s="1178"/>
      <c r="BJ57" s="1032"/>
      <c r="BK57" s="1178"/>
      <c r="BL57" s="1032"/>
      <c r="BM57" s="1178"/>
      <c r="BN57" s="1032"/>
      <c r="BO57" s="1178"/>
      <c r="BP57" s="1032"/>
      <c r="BQ57" s="1178"/>
      <c r="BR57" s="1032"/>
      <c r="BS57" s="298"/>
      <c r="CF57" s="767">
        <v>0</v>
      </c>
    </row>
    <row s="1644" customFormat="1" customHeight="1" ht="11.25" hidden="1">
      <c r="A58" s="2401"/>
      <c r="B58" s="520"/>
      <c r="D58" s="674" t="s">
        <v>988</v>
      </c>
      <c r="E58" s="676" t="s">
        <v>980</v>
      </c>
      <c r="F58" s="669" t="s">
        <v>961</v>
      </c>
      <c r="G58" s="677"/>
      <c r="H58" s="1032"/>
      <c r="I58" s="677"/>
      <c r="J58" s="1032"/>
      <c r="K58" s="1178"/>
      <c r="L58" s="1032"/>
      <c r="M58" s="1178"/>
      <c r="N58" s="1032"/>
      <c r="O58" s="1178"/>
      <c r="P58" s="1032"/>
      <c r="Q58" s="1178"/>
      <c r="R58" s="1032"/>
      <c r="S58" s="1178"/>
      <c r="T58" s="1032"/>
      <c r="U58" s="1178"/>
      <c r="V58" s="1032"/>
      <c r="W58" s="1178"/>
      <c r="X58" s="1032"/>
      <c r="Y58" s="1178"/>
      <c r="Z58" s="1032"/>
      <c r="AA58" s="1178"/>
      <c r="AB58" s="1032"/>
      <c r="AC58" s="1178"/>
      <c r="AD58" s="1032"/>
      <c r="AE58" s="1178"/>
      <c r="AF58" s="1032"/>
      <c r="AG58" s="1178"/>
      <c r="AH58" s="1032"/>
      <c r="AI58" s="1178"/>
      <c r="AJ58" s="1032"/>
      <c r="AK58" s="1178"/>
      <c r="AL58" s="1032"/>
      <c r="AM58" s="1178"/>
      <c r="AN58" s="1032"/>
      <c r="AO58" s="1178"/>
      <c r="AP58" s="1032"/>
      <c r="AQ58" s="1178"/>
      <c r="AR58" s="1032"/>
      <c r="AS58" s="1178"/>
      <c r="AT58" s="1032"/>
      <c r="AU58" s="1178"/>
      <c r="AV58" s="1032"/>
      <c r="AW58" s="1178"/>
      <c r="AX58" s="1032"/>
      <c r="AY58" s="1178"/>
      <c r="AZ58" s="1032"/>
      <c r="BA58" s="1178"/>
      <c r="BB58" s="1032"/>
      <c r="BC58" s="1178"/>
      <c r="BD58" s="1032"/>
      <c r="BE58" s="1178"/>
      <c r="BF58" s="1032"/>
      <c r="BG58" s="1178"/>
      <c r="BH58" s="1032"/>
      <c r="BI58" s="1178"/>
      <c r="BJ58" s="1032"/>
      <c r="BK58" s="1178"/>
      <c r="BL58" s="1032"/>
      <c r="BM58" s="1178"/>
      <c r="BN58" s="1032"/>
      <c r="BO58" s="1178"/>
      <c r="BP58" s="1032"/>
      <c r="BQ58" s="1178"/>
      <c r="BR58" s="1032"/>
      <c r="BS58" s="298"/>
      <c r="CF58" s="767">
        <v>0</v>
      </c>
    </row>
    <row s="1644" customFormat="1" customHeight="1" ht="11.25" hidden="1">
      <c r="A59" s="2401"/>
      <c r="B59" s="520"/>
      <c r="D59" s="674" t="s">
        <v>989</v>
      </c>
      <c r="E59" s="676" t="s">
        <v>982</v>
      </c>
      <c r="F59" s="669" t="s">
        <v>961</v>
      </c>
      <c r="G59" s="677"/>
      <c r="H59" s="1032"/>
      <c r="I59" s="677"/>
      <c r="J59" s="1032"/>
      <c r="K59" s="1178"/>
      <c r="L59" s="1032"/>
      <c r="M59" s="1178"/>
      <c r="N59" s="1032"/>
      <c r="O59" s="1178"/>
      <c r="P59" s="1032"/>
      <c r="Q59" s="1178"/>
      <c r="R59" s="1032"/>
      <c r="S59" s="1178"/>
      <c r="T59" s="1032"/>
      <c r="U59" s="1178"/>
      <c r="V59" s="1032"/>
      <c r="W59" s="1178"/>
      <c r="X59" s="1032"/>
      <c r="Y59" s="1178"/>
      <c r="Z59" s="1032"/>
      <c r="AA59" s="1178"/>
      <c r="AB59" s="1032"/>
      <c r="AC59" s="1178"/>
      <c r="AD59" s="1032"/>
      <c r="AE59" s="1178"/>
      <c r="AF59" s="1032"/>
      <c r="AG59" s="1178"/>
      <c r="AH59" s="1032"/>
      <c r="AI59" s="1178"/>
      <c r="AJ59" s="1032"/>
      <c r="AK59" s="1178"/>
      <c r="AL59" s="1032"/>
      <c r="AM59" s="1178"/>
      <c r="AN59" s="1032"/>
      <c r="AO59" s="1178"/>
      <c r="AP59" s="1032"/>
      <c r="AQ59" s="1178"/>
      <c r="AR59" s="1032"/>
      <c r="AS59" s="1178"/>
      <c r="AT59" s="1032"/>
      <c r="AU59" s="1178"/>
      <c r="AV59" s="1032"/>
      <c r="AW59" s="1178"/>
      <c r="AX59" s="1032"/>
      <c r="AY59" s="1178"/>
      <c r="AZ59" s="1032"/>
      <c r="BA59" s="1178"/>
      <c r="BB59" s="1032"/>
      <c r="BC59" s="1178"/>
      <c r="BD59" s="1032"/>
      <c r="BE59" s="1178"/>
      <c r="BF59" s="1032"/>
      <c r="BG59" s="1178"/>
      <c r="BH59" s="1032"/>
      <c r="BI59" s="1178"/>
      <c r="BJ59" s="1032"/>
      <c r="BK59" s="1178"/>
      <c r="BL59" s="1032"/>
      <c r="BM59" s="1178"/>
      <c r="BN59" s="1032"/>
      <c r="BO59" s="1178"/>
      <c r="BP59" s="1032"/>
      <c r="BQ59" s="1178"/>
      <c r="BR59" s="1032"/>
      <c r="BS59" s="298"/>
      <c r="CF59" s="767">
        <v>0</v>
      </c>
    </row>
    <row s="1644" customFormat="1" customHeight="1" ht="33.75" hidden="1">
      <c r="A60" s="2401"/>
      <c r="B60" s="520"/>
      <c r="D60" s="674" t="s">
        <v>92</v>
      </c>
      <c r="E60" s="675" t="s">
        <v>990</v>
      </c>
      <c r="F60" s="730" t="s">
        <v>631</v>
      </c>
      <c r="G60" s="751"/>
      <c r="H60" s="1032"/>
      <c r="I60" s="751"/>
      <c r="J60" s="1032"/>
      <c r="K60" s="751"/>
      <c r="L60" s="1032"/>
      <c r="M60" s="751"/>
      <c r="N60" s="1032"/>
      <c r="O60" s="751"/>
      <c r="P60" s="1032"/>
      <c r="Q60" s="751"/>
      <c r="R60" s="1032"/>
      <c r="S60" s="751"/>
      <c r="T60" s="1032"/>
      <c r="U60" s="751"/>
      <c r="V60" s="1032"/>
      <c r="W60" s="751"/>
      <c r="X60" s="1032"/>
      <c r="Y60" s="751"/>
      <c r="Z60" s="1032"/>
      <c r="AA60" s="751"/>
      <c r="AB60" s="1032"/>
      <c r="AC60" s="751"/>
      <c r="AD60" s="1032"/>
      <c r="AE60" s="751"/>
      <c r="AF60" s="1032"/>
      <c r="AG60" s="751"/>
      <c r="AH60" s="1032"/>
      <c r="AI60" s="751"/>
      <c r="AJ60" s="1032"/>
      <c r="AK60" s="751"/>
      <c r="AL60" s="1032"/>
      <c r="AM60" s="751"/>
      <c r="AN60" s="1032"/>
      <c r="AO60" s="751"/>
      <c r="AP60" s="1032"/>
      <c r="AQ60" s="751"/>
      <c r="AR60" s="1032"/>
      <c r="AS60" s="751"/>
      <c r="AT60" s="1032"/>
      <c r="AU60" s="751"/>
      <c r="AV60" s="1032"/>
      <c r="AW60" s="751"/>
      <c r="AX60" s="1032"/>
      <c r="AY60" s="751"/>
      <c r="AZ60" s="1032"/>
      <c r="BA60" s="751"/>
      <c r="BB60" s="1032"/>
      <c r="BC60" s="751"/>
      <c r="BD60" s="1032"/>
      <c r="BE60" s="751"/>
      <c r="BF60" s="1032"/>
      <c r="BG60" s="751"/>
      <c r="BH60" s="1032"/>
      <c r="BI60" s="751"/>
      <c r="BJ60" s="1032"/>
      <c r="BK60" s="751"/>
      <c r="BL60" s="1032"/>
      <c r="BM60" s="751"/>
      <c r="BN60" s="1032"/>
      <c r="BO60" s="751"/>
      <c r="BP60" s="1032"/>
      <c r="BQ60" s="751"/>
      <c r="BR60" s="1032"/>
      <c r="BS60" s="311" t="s">
        <v>991</v>
      </c>
      <c r="CF60" s="767">
        <v>0</v>
      </c>
    </row>
    <row s="1644" customFormat="1" customHeight="1" ht="33.75" hidden="1">
      <c r="A61" s="2401"/>
      <c r="B61" s="520"/>
      <c r="D61" s="674" t="s">
        <v>93</v>
      </c>
      <c r="E61" s="675" t="s">
        <v>992</v>
      </c>
      <c r="F61" s="735" t="s">
        <v>922</v>
      </c>
      <c r="G61" s="677"/>
      <c r="H61" s="1032"/>
      <c r="I61" s="677"/>
      <c r="J61" s="1032"/>
      <c r="K61" s="1178"/>
      <c r="L61" s="1032"/>
      <c r="M61" s="1178"/>
      <c r="N61" s="1032"/>
      <c r="O61" s="1178"/>
      <c r="P61" s="1032"/>
      <c r="Q61" s="1178"/>
      <c r="R61" s="1032"/>
      <c r="S61" s="1178"/>
      <c r="T61" s="1032"/>
      <c r="U61" s="1178"/>
      <c r="V61" s="1032"/>
      <c r="W61" s="1178"/>
      <c r="X61" s="1032"/>
      <c r="Y61" s="1178"/>
      <c r="Z61" s="1032"/>
      <c r="AA61" s="1178"/>
      <c r="AB61" s="1032"/>
      <c r="AC61" s="1178"/>
      <c r="AD61" s="1032"/>
      <c r="AE61" s="1178"/>
      <c r="AF61" s="1032"/>
      <c r="AG61" s="1178"/>
      <c r="AH61" s="1032"/>
      <c r="AI61" s="1178"/>
      <c r="AJ61" s="1032"/>
      <c r="AK61" s="1178"/>
      <c r="AL61" s="1032"/>
      <c r="AM61" s="1178"/>
      <c r="AN61" s="1032"/>
      <c r="AO61" s="1178"/>
      <c r="AP61" s="1032"/>
      <c r="AQ61" s="1178"/>
      <c r="AR61" s="1032"/>
      <c r="AS61" s="1178"/>
      <c r="AT61" s="1032"/>
      <c r="AU61" s="1178"/>
      <c r="AV61" s="1032"/>
      <c r="AW61" s="1178"/>
      <c r="AX61" s="1032"/>
      <c r="AY61" s="1178"/>
      <c r="AZ61" s="1032"/>
      <c r="BA61" s="1178"/>
      <c r="BB61" s="1032"/>
      <c r="BC61" s="1178"/>
      <c r="BD61" s="1032"/>
      <c r="BE61" s="1178"/>
      <c r="BF61" s="1032"/>
      <c r="BG61" s="1178"/>
      <c r="BH61" s="1032"/>
      <c r="BI61" s="1178"/>
      <c r="BJ61" s="1032"/>
      <c r="BK61" s="1178"/>
      <c r="BL61" s="1032"/>
      <c r="BM61" s="1178"/>
      <c r="BN61" s="1032"/>
      <c r="BO61" s="1178"/>
      <c r="BP61" s="1032"/>
      <c r="BQ61" s="1178"/>
      <c r="BR61" s="1032"/>
      <c r="BS61" s="298"/>
      <c r="CF61" s="767">
        <v>0</v>
      </c>
    </row>
    <row s="1644" customFormat="1" customHeight="1" ht="22.5" hidden="1">
      <c r="A62" s="2401"/>
      <c r="B62" s="520" t="s">
        <v>661</v>
      </c>
      <c r="D62" s="674" t="s">
        <v>112</v>
      </c>
      <c r="E62" s="675" t="s">
        <v>993</v>
      </c>
      <c r="F62" s="735" t="s">
        <v>379</v>
      </c>
      <c r="G62" s="391"/>
      <c r="H62" s="1032"/>
      <c r="I62" s="391"/>
      <c r="J62" s="1032"/>
      <c r="K62" s="1173"/>
      <c r="L62" s="1032"/>
      <c r="M62" s="1173"/>
      <c r="N62" s="1032"/>
      <c r="O62" s="1173"/>
      <c r="P62" s="1032"/>
      <c r="Q62" s="1173"/>
      <c r="R62" s="1032"/>
      <c r="S62" s="1173"/>
      <c r="T62" s="1032"/>
      <c r="U62" s="1173"/>
      <c r="V62" s="1032"/>
      <c r="W62" s="1173"/>
      <c r="X62" s="1032"/>
      <c r="Y62" s="1173"/>
      <c r="Z62" s="1032"/>
      <c r="AA62" s="1173"/>
      <c r="AB62" s="1032"/>
      <c r="AC62" s="1173"/>
      <c r="AD62" s="1032"/>
      <c r="AE62" s="1173"/>
      <c r="AF62" s="1032"/>
      <c r="AG62" s="1173"/>
      <c r="AH62" s="1032"/>
      <c r="AI62" s="1173"/>
      <c r="AJ62" s="1032"/>
      <c r="AK62" s="1173"/>
      <c r="AL62" s="1032"/>
      <c r="AM62" s="1173"/>
      <c r="AN62" s="1032"/>
      <c r="AO62" s="1173"/>
      <c r="AP62" s="1032"/>
      <c r="AQ62" s="1173"/>
      <c r="AR62" s="1032"/>
      <c r="AS62" s="1173"/>
      <c r="AT62" s="1032"/>
      <c r="AU62" s="1173"/>
      <c r="AV62" s="1032"/>
      <c r="AW62" s="1173"/>
      <c r="AX62" s="1032"/>
      <c r="AY62" s="1173"/>
      <c r="AZ62" s="1032"/>
      <c r="BA62" s="1173"/>
      <c r="BB62" s="1032"/>
      <c r="BC62" s="1173"/>
      <c r="BD62" s="1032"/>
      <c r="BE62" s="1173"/>
      <c r="BF62" s="1032"/>
      <c r="BG62" s="1173"/>
      <c r="BH62" s="1032"/>
      <c r="BI62" s="1173"/>
      <c r="BJ62" s="1032"/>
      <c r="BK62" s="1173"/>
      <c r="BL62" s="1032"/>
      <c r="BM62" s="1173"/>
      <c r="BN62" s="1032"/>
      <c r="BO62" s="1173"/>
      <c r="BP62" s="1032"/>
      <c r="BQ62" s="1173"/>
      <c r="BR62" s="1032"/>
      <c r="BS62" s="298" t="s">
        <v>734</v>
      </c>
      <c r="CF62" s="767">
        <v>0</v>
      </c>
    </row>
    <row s="1644" customFormat="1" customHeight="1" ht="45" hidden="1">
      <c r="A63" s="2401"/>
      <c r="B63" s="520" t="s">
        <v>661</v>
      </c>
      <c r="D63" s="674" t="s">
        <v>994</v>
      </c>
      <c r="E63" s="676" t="s">
        <v>995</v>
      </c>
      <c r="F63" s="730" t="s">
        <v>379</v>
      </c>
      <c r="G63" s="391"/>
      <c r="H63" s="1032"/>
      <c r="I63" s="391"/>
      <c r="J63" s="1032"/>
      <c r="K63" s="1173"/>
      <c r="L63" s="1032"/>
      <c r="M63" s="1173"/>
      <c r="N63" s="1032"/>
      <c r="O63" s="1173"/>
      <c r="P63" s="1032"/>
      <c r="Q63" s="1173"/>
      <c r="R63" s="1032"/>
      <c r="S63" s="1173"/>
      <c r="T63" s="1032"/>
      <c r="U63" s="1173"/>
      <c r="V63" s="1032"/>
      <c r="W63" s="1173"/>
      <c r="X63" s="1032"/>
      <c r="Y63" s="1173"/>
      <c r="Z63" s="1032"/>
      <c r="AA63" s="1173"/>
      <c r="AB63" s="1032"/>
      <c r="AC63" s="1173"/>
      <c r="AD63" s="1032"/>
      <c r="AE63" s="1173"/>
      <c r="AF63" s="1032"/>
      <c r="AG63" s="1173"/>
      <c r="AH63" s="1032"/>
      <c r="AI63" s="1173"/>
      <c r="AJ63" s="1032"/>
      <c r="AK63" s="1173"/>
      <c r="AL63" s="1032"/>
      <c r="AM63" s="1173"/>
      <c r="AN63" s="1032"/>
      <c r="AO63" s="1173"/>
      <c r="AP63" s="1032"/>
      <c r="AQ63" s="1173"/>
      <c r="AR63" s="1032"/>
      <c r="AS63" s="1173"/>
      <c r="AT63" s="1032"/>
      <c r="AU63" s="1173"/>
      <c r="AV63" s="1032"/>
      <c r="AW63" s="1173"/>
      <c r="AX63" s="1032"/>
      <c r="AY63" s="1173"/>
      <c r="AZ63" s="1032"/>
      <c r="BA63" s="1173"/>
      <c r="BB63" s="1032"/>
      <c r="BC63" s="1173"/>
      <c r="BD63" s="1032"/>
      <c r="BE63" s="1173"/>
      <c r="BF63" s="1032"/>
      <c r="BG63" s="1173"/>
      <c r="BH63" s="1032"/>
      <c r="BI63" s="1173"/>
      <c r="BJ63" s="1032"/>
      <c r="BK63" s="1173"/>
      <c r="BL63" s="1032"/>
      <c r="BM63" s="1173"/>
      <c r="BN63" s="1032"/>
      <c r="BO63" s="1173"/>
      <c r="BP63" s="1032"/>
      <c r="BQ63" s="1173"/>
      <c r="BR63" s="1032"/>
      <c r="BS63" s="298" t="s">
        <v>734</v>
      </c>
      <c r="CF63" s="767">
        <v>0</v>
      </c>
    </row>
    <row s="1644" customFormat="1" customHeight="1" ht="11.549999999999999">
      <c r="A64" s="1042"/>
      <c r="B64" s="527"/>
      <c r="D64" s="1043"/>
      <c r="E64" s="10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c r="AI64" s="1644"/>
      <c r="AJ64" s="1644"/>
      <c r="AK64" s="1644"/>
      <c r="AL64" s="1644"/>
      <c r="AM64" s="1644"/>
      <c r="AN64" s="1644"/>
      <c r="AO64" s="1644"/>
      <c r="AP64" s="1644"/>
      <c r="AQ64" s="1644"/>
      <c r="AR64" s="1644"/>
      <c r="AS64" s="1644"/>
      <c r="AT64" s="1644"/>
      <c r="AU64" s="1644"/>
      <c r="AV64" s="1644"/>
      <c r="AW64" s="1644"/>
      <c r="AX64" s="1644"/>
      <c r="AY64" s="1644"/>
      <c r="AZ64" s="1644"/>
      <c r="BA64" s="1644"/>
      <c r="BB64" s="1644"/>
      <c r="BC64" s="1644"/>
      <c r="BD64" s="1644"/>
      <c r="BE64" s="1644"/>
      <c r="BF64" s="1644"/>
      <c r="BG64" s="1644"/>
      <c r="BH64" s="1644"/>
      <c r="BI64" s="1644"/>
      <c r="BJ64" s="1644"/>
      <c r="BK64" s="1644"/>
      <c r="BL64" s="1644"/>
      <c r="BM64" s="1644"/>
      <c r="BN64" s="1644"/>
      <c r="BO64" s="1644"/>
      <c r="BP64" s="1644"/>
      <c r="BQ64" s="1644"/>
      <c r="BR64" s="1644"/>
      <c r="CF64" s="518">
        <v>11</v>
      </c>
    </row>
    <row s="1644" customFormat="1" customHeight="1" ht="22.5" hidden="1">
      <c r="A65" s="2401" t="s">
        <v>996</v>
      </c>
      <c r="B65" s="520"/>
      <c r="D65" s="674">
        <v>1</v>
      </c>
      <c r="E65" s="753" t="s">
        <v>997</v>
      </c>
      <c r="F65" s="749" t="s">
        <v>912</v>
      </c>
      <c r="G65" s="750"/>
      <c r="H65" s="1038"/>
      <c r="I65" s="750"/>
      <c r="J65" s="1038"/>
      <c r="K65" s="750"/>
      <c r="L65" s="1038"/>
      <c r="M65" s="750"/>
      <c r="N65" s="1038"/>
      <c r="O65" s="750"/>
      <c r="P65" s="1038"/>
      <c r="Q65" s="750"/>
      <c r="R65" s="1038"/>
      <c r="S65" s="750"/>
      <c r="T65" s="1038"/>
      <c r="U65" s="750"/>
      <c r="V65" s="1038"/>
      <c r="W65" s="750"/>
      <c r="X65" s="1038"/>
      <c r="Y65" s="750"/>
      <c r="Z65" s="1038"/>
      <c r="AA65" s="750"/>
      <c r="AB65" s="1038"/>
      <c r="AC65" s="750"/>
      <c r="AD65" s="1038"/>
      <c r="AE65" s="750"/>
      <c r="AF65" s="1038"/>
      <c r="AG65" s="750"/>
      <c r="AH65" s="1038"/>
      <c r="AI65" s="750"/>
      <c r="AJ65" s="1038"/>
      <c r="AK65" s="750"/>
      <c r="AL65" s="1038"/>
      <c r="AM65" s="750"/>
      <c r="AN65" s="1038"/>
      <c r="AO65" s="750"/>
      <c r="AP65" s="1038"/>
      <c r="AQ65" s="750"/>
      <c r="AR65" s="1038"/>
      <c r="AS65" s="750"/>
      <c r="AT65" s="1038"/>
      <c r="AU65" s="750"/>
      <c r="AV65" s="1038"/>
      <c r="AW65" s="750"/>
      <c r="AX65" s="1038"/>
      <c r="AY65" s="750"/>
      <c r="AZ65" s="1038"/>
      <c r="BA65" s="750"/>
      <c r="BB65" s="1038"/>
      <c r="BC65" s="750"/>
      <c r="BD65" s="1038"/>
      <c r="BE65" s="750"/>
      <c r="BF65" s="1038"/>
      <c r="BG65" s="750"/>
      <c r="BH65" s="1038"/>
      <c r="BI65" s="750"/>
      <c r="BJ65" s="1038"/>
      <c r="BK65" s="750"/>
      <c r="BL65" s="1038"/>
      <c r="BM65" s="750"/>
      <c r="BN65" s="1038"/>
      <c r="BO65" s="750"/>
      <c r="BP65" s="1038"/>
      <c r="BQ65" s="750"/>
      <c r="BR65" s="1038"/>
      <c r="BS65" s="310" t="s">
        <v>998</v>
      </c>
      <c r="CF65" s="767">
        <v>0</v>
      </c>
    </row>
    <row s="1644" customFormat="1" customHeight="1" ht="56.25" hidden="1">
      <c r="A66" s="2401"/>
      <c r="B66" s="520"/>
      <c r="D66" s="752" t="s">
        <v>110</v>
      </c>
      <c r="E66" s="716" t="s">
        <v>999</v>
      </c>
      <c r="F66" s="669" t="s">
        <v>619</v>
      </c>
      <c r="G66" s="669" t="s">
        <v>619</v>
      </c>
      <c r="H66" s="528"/>
      <c r="I66" s="669" t="s">
        <v>619</v>
      </c>
      <c r="J66" s="528"/>
      <c r="K66" s="2113" t="s">
        <v>619</v>
      </c>
      <c r="L66" s="528"/>
      <c r="M66" s="2113" t="s">
        <v>619</v>
      </c>
      <c r="N66" s="528"/>
      <c r="O66" s="2113" t="s">
        <v>619</v>
      </c>
      <c r="P66" s="528"/>
      <c r="Q66" s="2113" t="s">
        <v>619</v>
      </c>
      <c r="R66" s="528"/>
      <c r="S66" s="2113" t="s">
        <v>619</v>
      </c>
      <c r="T66" s="528"/>
      <c r="U66" s="2113" t="s">
        <v>619</v>
      </c>
      <c r="V66" s="528"/>
      <c r="W66" s="2113" t="s">
        <v>619</v>
      </c>
      <c r="X66" s="528"/>
      <c r="Y66" s="2113" t="s">
        <v>619</v>
      </c>
      <c r="Z66" s="528"/>
      <c r="AA66" s="2113" t="s">
        <v>619</v>
      </c>
      <c r="AB66" s="528"/>
      <c r="AC66" s="2113" t="s">
        <v>619</v>
      </c>
      <c r="AD66" s="528"/>
      <c r="AE66" s="2113" t="s">
        <v>619</v>
      </c>
      <c r="AF66" s="528"/>
      <c r="AG66" s="2113" t="s">
        <v>619</v>
      </c>
      <c r="AH66" s="528"/>
      <c r="AI66" s="2113" t="s">
        <v>619</v>
      </c>
      <c r="AJ66" s="528"/>
      <c r="AK66" s="2113" t="s">
        <v>619</v>
      </c>
      <c r="AL66" s="528"/>
      <c r="AM66" s="2113" t="s">
        <v>619</v>
      </c>
      <c r="AN66" s="528"/>
      <c r="AO66" s="2113" t="s">
        <v>619</v>
      </c>
      <c r="AP66" s="528"/>
      <c r="AQ66" s="2113" t="s">
        <v>619</v>
      </c>
      <c r="AR66" s="528"/>
      <c r="AS66" s="2113" t="s">
        <v>619</v>
      </c>
      <c r="AT66" s="528"/>
      <c r="AU66" s="2113" t="s">
        <v>619</v>
      </c>
      <c r="AV66" s="528"/>
      <c r="AW66" s="2113" t="s">
        <v>619</v>
      </c>
      <c r="AX66" s="528"/>
      <c r="AY66" s="2113" t="s">
        <v>619</v>
      </c>
      <c r="AZ66" s="528"/>
      <c r="BA66" s="2113" t="s">
        <v>619</v>
      </c>
      <c r="BB66" s="528"/>
      <c r="BC66" s="2113" t="s">
        <v>619</v>
      </c>
      <c r="BD66" s="528"/>
      <c r="BE66" s="2113" t="s">
        <v>619</v>
      </c>
      <c r="BF66" s="528"/>
      <c r="BG66" s="2113" t="s">
        <v>619</v>
      </c>
      <c r="BH66" s="528"/>
      <c r="BI66" s="2113" t="s">
        <v>619</v>
      </c>
      <c r="BJ66" s="528"/>
      <c r="BK66" s="2113" t="s">
        <v>619</v>
      </c>
      <c r="BL66" s="528"/>
      <c r="BM66" s="2113" t="s">
        <v>619</v>
      </c>
      <c r="BN66" s="528"/>
      <c r="BO66" s="2113" t="s">
        <v>619</v>
      </c>
      <c r="BP66" s="528"/>
      <c r="BQ66" s="2113" t="s">
        <v>619</v>
      </c>
      <c r="BR66" s="528"/>
      <c r="BS66" s="298"/>
      <c r="CF66" s="767">
        <v>0</v>
      </c>
    </row>
    <row s="1644" customFormat="1" customHeight="1" ht="33.75" hidden="1">
      <c r="A67" s="2401"/>
      <c r="B67" s="520"/>
      <c r="D67" s="752" t="s">
        <v>811</v>
      </c>
      <c r="E67" s="963" t="s">
        <v>1000</v>
      </c>
      <c r="F67" s="669" t="s">
        <v>964</v>
      </c>
      <c r="G67" s="736"/>
      <c r="H67" s="528"/>
      <c r="I67" s="736"/>
      <c r="J67" s="528"/>
      <c r="K67" s="736"/>
      <c r="L67" s="528"/>
      <c r="M67" s="736"/>
      <c r="N67" s="528"/>
      <c r="O67" s="736"/>
      <c r="P67" s="528"/>
      <c r="Q67" s="736"/>
      <c r="R67" s="528"/>
      <c r="S67" s="736"/>
      <c r="T67" s="528"/>
      <c r="U67" s="736"/>
      <c r="V67" s="528"/>
      <c r="W67" s="736"/>
      <c r="X67" s="528"/>
      <c r="Y67" s="736"/>
      <c r="Z67" s="528"/>
      <c r="AA67" s="736"/>
      <c r="AB67" s="528"/>
      <c r="AC67" s="736"/>
      <c r="AD67" s="528"/>
      <c r="AE67" s="736"/>
      <c r="AF67" s="528"/>
      <c r="AG67" s="736"/>
      <c r="AH67" s="528"/>
      <c r="AI67" s="736"/>
      <c r="AJ67" s="528"/>
      <c r="AK67" s="736"/>
      <c r="AL67" s="528"/>
      <c r="AM67" s="736"/>
      <c r="AN67" s="528"/>
      <c r="AO67" s="736"/>
      <c r="AP67" s="528"/>
      <c r="AQ67" s="736"/>
      <c r="AR67" s="528"/>
      <c r="AS67" s="736"/>
      <c r="AT67" s="528"/>
      <c r="AU67" s="736"/>
      <c r="AV67" s="528"/>
      <c r="AW67" s="736"/>
      <c r="AX67" s="528"/>
      <c r="AY67" s="736"/>
      <c r="AZ67" s="528"/>
      <c r="BA67" s="736"/>
      <c r="BB67" s="528"/>
      <c r="BC67" s="736"/>
      <c r="BD67" s="528"/>
      <c r="BE67" s="736"/>
      <c r="BF67" s="528"/>
      <c r="BG67" s="736"/>
      <c r="BH67" s="528"/>
      <c r="BI67" s="736"/>
      <c r="BJ67" s="528"/>
      <c r="BK67" s="736"/>
      <c r="BL67" s="528"/>
      <c r="BM67" s="736"/>
      <c r="BN67" s="528"/>
      <c r="BO67" s="736"/>
      <c r="BP67" s="528"/>
      <c r="BQ67" s="736"/>
      <c r="BR67" s="528"/>
      <c r="BS67" s="298"/>
      <c r="CF67" s="767">
        <v>0</v>
      </c>
    </row>
    <row s="1644" customFormat="1" customHeight="1" ht="22.5" hidden="1">
      <c r="A68" s="2401"/>
      <c r="B68" s="520"/>
      <c r="D68" s="752" t="s">
        <v>380</v>
      </c>
      <c r="E68" s="963" t="s">
        <v>1001</v>
      </c>
      <c r="F68" s="669" t="s">
        <v>964</v>
      </c>
      <c r="G68" s="736"/>
      <c r="H68" s="528"/>
      <c r="I68" s="736"/>
      <c r="J68" s="528"/>
      <c r="K68" s="736"/>
      <c r="L68" s="528"/>
      <c r="M68" s="736"/>
      <c r="N68" s="528"/>
      <c r="O68" s="736"/>
      <c r="P68" s="528"/>
      <c r="Q68" s="736"/>
      <c r="R68" s="528"/>
      <c r="S68" s="736"/>
      <c r="T68" s="528"/>
      <c r="U68" s="736"/>
      <c r="V68" s="528"/>
      <c r="W68" s="736"/>
      <c r="X68" s="528"/>
      <c r="Y68" s="736"/>
      <c r="Z68" s="528"/>
      <c r="AA68" s="736"/>
      <c r="AB68" s="528"/>
      <c r="AC68" s="736"/>
      <c r="AD68" s="528"/>
      <c r="AE68" s="736"/>
      <c r="AF68" s="528"/>
      <c r="AG68" s="736"/>
      <c r="AH68" s="528"/>
      <c r="AI68" s="736"/>
      <c r="AJ68" s="528"/>
      <c r="AK68" s="736"/>
      <c r="AL68" s="528"/>
      <c r="AM68" s="736"/>
      <c r="AN68" s="528"/>
      <c r="AO68" s="736"/>
      <c r="AP68" s="528"/>
      <c r="AQ68" s="736"/>
      <c r="AR68" s="528"/>
      <c r="AS68" s="736"/>
      <c r="AT68" s="528"/>
      <c r="AU68" s="736"/>
      <c r="AV68" s="528"/>
      <c r="AW68" s="736"/>
      <c r="AX68" s="528"/>
      <c r="AY68" s="736"/>
      <c r="AZ68" s="528"/>
      <c r="BA68" s="736"/>
      <c r="BB68" s="528"/>
      <c r="BC68" s="736"/>
      <c r="BD68" s="528"/>
      <c r="BE68" s="736"/>
      <c r="BF68" s="528"/>
      <c r="BG68" s="736"/>
      <c r="BH68" s="528"/>
      <c r="BI68" s="736"/>
      <c r="BJ68" s="528"/>
      <c r="BK68" s="736"/>
      <c r="BL68" s="528"/>
      <c r="BM68" s="736"/>
      <c r="BN68" s="528"/>
      <c r="BO68" s="736"/>
      <c r="BP68" s="528"/>
      <c r="BQ68" s="736"/>
      <c r="BR68" s="528"/>
      <c r="BS68" s="298"/>
      <c r="CF68" s="767">
        <v>0</v>
      </c>
    </row>
    <row s="1644" customFormat="1" customHeight="1" ht="22.5" hidden="1">
      <c r="A69" s="2401"/>
      <c r="B69" s="520"/>
      <c r="D69" s="752" t="s">
        <v>383</v>
      </c>
      <c r="E69" s="963" t="s">
        <v>1002</v>
      </c>
      <c r="F69" s="730" t="s">
        <v>631</v>
      </c>
      <c r="G69" s="751"/>
      <c r="H69" s="528"/>
      <c r="I69" s="751"/>
      <c r="J69" s="528"/>
      <c r="K69" s="751"/>
      <c r="L69" s="528"/>
      <c r="M69" s="751"/>
      <c r="N69" s="528"/>
      <c r="O69" s="751"/>
      <c r="P69" s="528"/>
      <c r="Q69" s="751"/>
      <c r="R69" s="528"/>
      <c r="S69" s="751"/>
      <c r="T69" s="528"/>
      <c r="U69" s="751"/>
      <c r="V69" s="528"/>
      <c r="W69" s="751"/>
      <c r="X69" s="528"/>
      <c r="Y69" s="751"/>
      <c r="Z69" s="528"/>
      <c r="AA69" s="751"/>
      <c r="AB69" s="528"/>
      <c r="AC69" s="751"/>
      <c r="AD69" s="528"/>
      <c r="AE69" s="751"/>
      <c r="AF69" s="528"/>
      <c r="AG69" s="751"/>
      <c r="AH69" s="528"/>
      <c r="AI69" s="751"/>
      <c r="AJ69" s="528"/>
      <c r="AK69" s="751"/>
      <c r="AL69" s="528"/>
      <c r="AM69" s="751"/>
      <c r="AN69" s="528"/>
      <c r="AO69" s="751"/>
      <c r="AP69" s="528"/>
      <c r="AQ69" s="751"/>
      <c r="AR69" s="528"/>
      <c r="AS69" s="751"/>
      <c r="AT69" s="528"/>
      <c r="AU69" s="751"/>
      <c r="AV69" s="528"/>
      <c r="AW69" s="751"/>
      <c r="AX69" s="528"/>
      <c r="AY69" s="751"/>
      <c r="AZ69" s="528"/>
      <c r="BA69" s="751"/>
      <c r="BB69" s="528"/>
      <c r="BC69" s="751"/>
      <c r="BD69" s="528"/>
      <c r="BE69" s="751"/>
      <c r="BF69" s="528"/>
      <c r="BG69" s="751"/>
      <c r="BH69" s="528"/>
      <c r="BI69" s="751"/>
      <c r="BJ69" s="528"/>
      <c r="BK69" s="751"/>
      <c r="BL69" s="528"/>
      <c r="BM69" s="751"/>
      <c r="BN69" s="528"/>
      <c r="BO69" s="751"/>
      <c r="BP69" s="528"/>
      <c r="BQ69" s="751"/>
      <c r="BR69" s="528"/>
      <c r="BS69" s="298"/>
      <c r="CF69" s="767">
        <v>0</v>
      </c>
    </row>
    <row s="1644" customFormat="1" customHeight="1" ht="22.5" hidden="1">
      <c r="A70" s="2401"/>
      <c r="B70" s="520"/>
      <c r="D70" s="752" t="s">
        <v>831</v>
      </c>
      <c r="E70" s="963" t="s">
        <v>1003</v>
      </c>
      <c r="F70" s="730" t="s">
        <v>631</v>
      </c>
      <c r="G70" s="751"/>
      <c r="H70" s="528"/>
      <c r="I70" s="751"/>
      <c r="J70" s="528"/>
      <c r="K70" s="751"/>
      <c r="L70" s="528"/>
      <c r="M70" s="751"/>
      <c r="N70" s="528"/>
      <c r="O70" s="751"/>
      <c r="P70" s="528"/>
      <c r="Q70" s="751"/>
      <c r="R70" s="528"/>
      <c r="S70" s="751"/>
      <c r="T70" s="528"/>
      <c r="U70" s="751"/>
      <c r="V70" s="528"/>
      <c r="W70" s="751"/>
      <c r="X70" s="528"/>
      <c r="Y70" s="751"/>
      <c r="Z70" s="528"/>
      <c r="AA70" s="751"/>
      <c r="AB70" s="528"/>
      <c r="AC70" s="751"/>
      <c r="AD70" s="528"/>
      <c r="AE70" s="751"/>
      <c r="AF70" s="528"/>
      <c r="AG70" s="751"/>
      <c r="AH70" s="528"/>
      <c r="AI70" s="751"/>
      <c r="AJ70" s="528"/>
      <c r="AK70" s="751"/>
      <c r="AL70" s="528"/>
      <c r="AM70" s="751"/>
      <c r="AN70" s="528"/>
      <c r="AO70" s="751"/>
      <c r="AP70" s="528"/>
      <c r="AQ70" s="751"/>
      <c r="AR70" s="528"/>
      <c r="AS70" s="751"/>
      <c r="AT70" s="528"/>
      <c r="AU70" s="751"/>
      <c r="AV70" s="528"/>
      <c r="AW70" s="751"/>
      <c r="AX70" s="528"/>
      <c r="AY70" s="751"/>
      <c r="AZ70" s="528"/>
      <c r="BA70" s="751"/>
      <c r="BB70" s="528"/>
      <c r="BC70" s="751"/>
      <c r="BD70" s="528"/>
      <c r="BE70" s="751"/>
      <c r="BF70" s="528"/>
      <c r="BG70" s="751"/>
      <c r="BH70" s="528"/>
      <c r="BI70" s="751"/>
      <c r="BJ70" s="528"/>
      <c r="BK70" s="751"/>
      <c r="BL70" s="528"/>
      <c r="BM70" s="751"/>
      <c r="BN70" s="528"/>
      <c r="BO70" s="751"/>
      <c r="BP70" s="528"/>
      <c r="BQ70" s="751"/>
      <c r="BR70" s="528"/>
      <c r="BS70" s="298"/>
      <c r="CF70" s="767">
        <v>0</v>
      </c>
    </row>
    <row s="1644" customFormat="1" customHeight="1" ht="22.5" hidden="1">
      <c r="A71" s="2401"/>
      <c r="B71" s="520"/>
      <c r="D71" s="674" t="s">
        <v>90</v>
      </c>
      <c r="E71" s="675" t="s">
        <v>1004</v>
      </c>
      <c r="F71" s="669" t="s">
        <v>964</v>
      </c>
      <c r="G71" s="566"/>
      <c r="H71" s="1039"/>
      <c r="I71" s="566"/>
      <c r="J71" s="1039"/>
      <c r="K71" s="566"/>
      <c r="L71" s="1039"/>
      <c r="M71" s="566"/>
      <c r="N71" s="1039"/>
      <c r="O71" s="566"/>
      <c r="P71" s="1039"/>
      <c r="Q71" s="566"/>
      <c r="R71" s="1039"/>
      <c r="S71" s="566"/>
      <c r="T71" s="1039"/>
      <c r="U71" s="566"/>
      <c r="V71" s="1039"/>
      <c r="W71" s="566"/>
      <c r="X71" s="1039"/>
      <c r="Y71" s="566"/>
      <c r="Z71" s="1039"/>
      <c r="AA71" s="566"/>
      <c r="AB71" s="1039"/>
      <c r="AC71" s="566"/>
      <c r="AD71" s="1039"/>
      <c r="AE71" s="566"/>
      <c r="AF71" s="1039"/>
      <c r="AG71" s="566"/>
      <c r="AH71" s="1039"/>
      <c r="AI71" s="566"/>
      <c r="AJ71" s="1039"/>
      <c r="AK71" s="566"/>
      <c r="AL71" s="1039"/>
      <c r="AM71" s="566"/>
      <c r="AN71" s="1039"/>
      <c r="AO71" s="566"/>
      <c r="AP71" s="1039"/>
      <c r="AQ71" s="566"/>
      <c r="AR71" s="1039"/>
      <c r="AS71" s="566"/>
      <c r="AT71" s="1039"/>
      <c r="AU71" s="566"/>
      <c r="AV71" s="1039"/>
      <c r="AW71" s="566"/>
      <c r="AX71" s="1039"/>
      <c r="AY71" s="566"/>
      <c r="AZ71" s="1039"/>
      <c r="BA71" s="566"/>
      <c r="BB71" s="1039"/>
      <c r="BC71" s="566"/>
      <c r="BD71" s="1039"/>
      <c r="BE71" s="566"/>
      <c r="BF71" s="1039"/>
      <c r="BG71" s="566"/>
      <c r="BH71" s="1039"/>
      <c r="BI71" s="566"/>
      <c r="BJ71" s="1039"/>
      <c r="BK71" s="566"/>
      <c r="BL71" s="1039"/>
      <c r="BM71" s="566"/>
      <c r="BN71" s="1039"/>
      <c r="BO71" s="566"/>
      <c r="BP71" s="1039"/>
      <c r="BQ71" s="566"/>
      <c r="BR71" s="1039"/>
      <c r="BS71" s="311"/>
      <c r="CF71" s="767">
        <v>0</v>
      </c>
    </row>
    <row s="1644" customFormat="1" customHeight="1" ht="56.25" hidden="1">
      <c r="A72" s="2401"/>
      <c r="B72" s="520"/>
      <c r="D72" s="674" t="s">
        <v>91</v>
      </c>
      <c r="E72" s="675" t="s">
        <v>1005</v>
      </c>
      <c r="F72" s="730" t="s">
        <v>631</v>
      </c>
      <c r="G72" s="751"/>
      <c r="H72" s="1032"/>
      <c r="I72" s="751"/>
      <c r="J72" s="1032"/>
      <c r="K72" s="751"/>
      <c r="L72" s="1032"/>
      <c r="M72" s="751"/>
      <c r="N72" s="1032"/>
      <c r="O72" s="751"/>
      <c r="P72" s="1032"/>
      <c r="Q72" s="751"/>
      <c r="R72" s="1032"/>
      <c r="S72" s="751"/>
      <c r="T72" s="1032"/>
      <c r="U72" s="751"/>
      <c r="V72" s="1032"/>
      <c r="W72" s="751"/>
      <c r="X72" s="1032"/>
      <c r="Y72" s="751"/>
      <c r="Z72" s="1032"/>
      <c r="AA72" s="751"/>
      <c r="AB72" s="1032"/>
      <c r="AC72" s="751"/>
      <c r="AD72" s="1032"/>
      <c r="AE72" s="751"/>
      <c r="AF72" s="1032"/>
      <c r="AG72" s="751"/>
      <c r="AH72" s="1032"/>
      <c r="AI72" s="751"/>
      <c r="AJ72" s="1032"/>
      <c r="AK72" s="751"/>
      <c r="AL72" s="1032"/>
      <c r="AM72" s="751"/>
      <c r="AN72" s="1032"/>
      <c r="AO72" s="751"/>
      <c r="AP72" s="1032"/>
      <c r="AQ72" s="751"/>
      <c r="AR72" s="1032"/>
      <c r="AS72" s="751"/>
      <c r="AT72" s="1032"/>
      <c r="AU72" s="751"/>
      <c r="AV72" s="1032"/>
      <c r="AW72" s="751"/>
      <c r="AX72" s="1032"/>
      <c r="AY72" s="751"/>
      <c r="AZ72" s="1032"/>
      <c r="BA72" s="751"/>
      <c r="BB72" s="1032"/>
      <c r="BC72" s="751"/>
      <c r="BD72" s="1032"/>
      <c r="BE72" s="751"/>
      <c r="BF72" s="1032"/>
      <c r="BG72" s="751"/>
      <c r="BH72" s="1032"/>
      <c r="BI72" s="751"/>
      <c r="BJ72" s="1032"/>
      <c r="BK72" s="751"/>
      <c r="BL72" s="1032"/>
      <c r="BM72" s="751"/>
      <c r="BN72" s="1032"/>
      <c r="BO72" s="751"/>
      <c r="BP72" s="1032"/>
      <c r="BQ72" s="751"/>
      <c r="BR72" s="1032"/>
      <c r="BS72" s="311"/>
      <c r="CF72" s="767">
        <v>0</v>
      </c>
    </row>
    <row s="1644" customFormat="1" customHeight="1" ht="33.75" hidden="1">
      <c r="A73" s="2401"/>
      <c r="B73" s="520"/>
      <c r="D73" s="674" t="s">
        <v>111</v>
      </c>
      <c r="E73" s="675" t="s">
        <v>1006</v>
      </c>
      <c r="F73" s="735" t="s">
        <v>922</v>
      </c>
      <c r="G73" s="677"/>
      <c r="H73" s="1032"/>
      <c r="I73" s="677"/>
      <c r="J73" s="1032"/>
      <c r="K73" s="1178"/>
      <c r="L73" s="1032"/>
      <c r="M73" s="1178"/>
      <c r="N73" s="1032"/>
      <c r="O73" s="1178"/>
      <c r="P73" s="1032"/>
      <c r="Q73" s="1178"/>
      <c r="R73" s="1032"/>
      <c r="S73" s="1178"/>
      <c r="T73" s="1032"/>
      <c r="U73" s="1178"/>
      <c r="V73" s="1032"/>
      <c r="W73" s="1178"/>
      <c r="X73" s="1032"/>
      <c r="Y73" s="1178"/>
      <c r="Z73" s="1032"/>
      <c r="AA73" s="1178"/>
      <c r="AB73" s="1032"/>
      <c r="AC73" s="1178"/>
      <c r="AD73" s="1032"/>
      <c r="AE73" s="1178"/>
      <c r="AF73" s="1032"/>
      <c r="AG73" s="1178"/>
      <c r="AH73" s="1032"/>
      <c r="AI73" s="1178"/>
      <c r="AJ73" s="1032"/>
      <c r="AK73" s="1178"/>
      <c r="AL73" s="1032"/>
      <c r="AM73" s="1178"/>
      <c r="AN73" s="1032"/>
      <c r="AO73" s="1178"/>
      <c r="AP73" s="1032"/>
      <c r="AQ73" s="1178"/>
      <c r="AR73" s="1032"/>
      <c r="AS73" s="1178"/>
      <c r="AT73" s="1032"/>
      <c r="AU73" s="1178"/>
      <c r="AV73" s="1032"/>
      <c r="AW73" s="1178"/>
      <c r="AX73" s="1032"/>
      <c r="AY73" s="1178"/>
      <c r="AZ73" s="1032"/>
      <c r="BA73" s="1178"/>
      <c r="BB73" s="1032"/>
      <c r="BC73" s="1178"/>
      <c r="BD73" s="1032"/>
      <c r="BE73" s="1178"/>
      <c r="BF73" s="1032"/>
      <c r="BG73" s="1178"/>
      <c r="BH73" s="1032"/>
      <c r="BI73" s="1178"/>
      <c r="BJ73" s="1032"/>
      <c r="BK73" s="1178"/>
      <c r="BL73" s="1032"/>
      <c r="BM73" s="1178"/>
      <c r="BN73" s="1032"/>
      <c r="BO73" s="1178"/>
      <c r="BP73" s="1032"/>
      <c r="BQ73" s="1178"/>
      <c r="BR73" s="1032"/>
      <c r="BS73" s="298"/>
      <c r="CF73" s="767">
        <v>0</v>
      </c>
    </row>
    <row s="1644" customFormat="1" customHeight="1" ht="22.5" hidden="1">
      <c r="A74" s="2401"/>
      <c r="B74" s="520" t="s">
        <v>661</v>
      </c>
      <c r="D74" s="674" t="s">
        <v>92</v>
      </c>
      <c r="E74" s="675" t="s">
        <v>1007</v>
      </c>
      <c r="F74" s="735" t="s">
        <v>379</v>
      </c>
      <c r="G74" s="391"/>
      <c r="H74" s="1032"/>
      <c r="I74" s="391"/>
      <c r="J74" s="1032"/>
      <c r="K74" s="1173"/>
      <c r="L74" s="1032"/>
      <c r="M74" s="1173"/>
      <c r="N74" s="1032"/>
      <c r="O74" s="1173"/>
      <c r="P74" s="1032"/>
      <c r="Q74" s="1173"/>
      <c r="R74" s="1032"/>
      <c r="S74" s="1173"/>
      <c r="T74" s="1032"/>
      <c r="U74" s="1173"/>
      <c r="V74" s="1032"/>
      <c r="W74" s="1173"/>
      <c r="X74" s="1032"/>
      <c r="Y74" s="1173"/>
      <c r="Z74" s="1032"/>
      <c r="AA74" s="1173"/>
      <c r="AB74" s="1032"/>
      <c r="AC74" s="1173"/>
      <c r="AD74" s="1032"/>
      <c r="AE74" s="1173"/>
      <c r="AF74" s="1032"/>
      <c r="AG74" s="1173"/>
      <c r="AH74" s="1032"/>
      <c r="AI74" s="1173"/>
      <c r="AJ74" s="1032"/>
      <c r="AK74" s="1173"/>
      <c r="AL74" s="1032"/>
      <c r="AM74" s="1173"/>
      <c r="AN74" s="1032"/>
      <c r="AO74" s="1173"/>
      <c r="AP74" s="1032"/>
      <c r="AQ74" s="1173"/>
      <c r="AR74" s="1032"/>
      <c r="AS74" s="1173"/>
      <c r="AT74" s="1032"/>
      <c r="AU74" s="1173"/>
      <c r="AV74" s="1032"/>
      <c r="AW74" s="1173"/>
      <c r="AX74" s="1032"/>
      <c r="AY74" s="1173"/>
      <c r="AZ74" s="1032"/>
      <c r="BA74" s="1173"/>
      <c r="BB74" s="1032"/>
      <c r="BC74" s="1173"/>
      <c r="BD74" s="1032"/>
      <c r="BE74" s="1173"/>
      <c r="BF74" s="1032"/>
      <c r="BG74" s="1173"/>
      <c r="BH74" s="1032"/>
      <c r="BI74" s="1173"/>
      <c r="BJ74" s="1032"/>
      <c r="BK74" s="1173"/>
      <c r="BL74" s="1032"/>
      <c r="BM74" s="1173"/>
      <c r="BN74" s="1032"/>
      <c r="BO74" s="1173"/>
      <c r="BP74" s="1032"/>
      <c r="BQ74" s="1173"/>
      <c r="BR74" s="1032"/>
      <c r="BS74" s="298" t="s">
        <v>734</v>
      </c>
      <c r="CF74" s="767">
        <v>0</v>
      </c>
    </row>
    <row s="1644" customFormat="1" customHeight="1" ht="45" hidden="1">
      <c r="A75" s="2401"/>
      <c r="B75" s="520" t="s">
        <v>661</v>
      </c>
      <c r="D75" s="674" t="s">
        <v>755</v>
      </c>
      <c r="E75" s="676" t="s">
        <v>1008</v>
      </c>
      <c r="F75" s="730" t="s">
        <v>379</v>
      </c>
      <c r="G75" s="391"/>
      <c r="H75" s="1032"/>
      <c r="I75" s="391"/>
      <c r="J75" s="1032"/>
      <c r="K75" s="1173"/>
      <c r="L75" s="1032"/>
      <c r="M75" s="1173"/>
      <c r="N75" s="1032"/>
      <c r="O75" s="1173"/>
      <c r="P75" s="1032"/>
      <c r="Q75" s="1173"/>
      <c r="R75" s="1032"/>
      <c r="S75" s="1173"/>
      <c r="T75" s="1032"/>
      <c r="U75" s="1173"/>
      <c r="V75" s="1032"/>
      <c r="W75" s="1173"/>
      <c r="X75" s="1032"/>
      <c r="Y75" s="1173"/>
      <c r="Z75" s="1032"/>
      <c r="AA75" s="1173"/>
      <c r="AB75" s="1032"/>
      <c r="AC75" s="1173"/>
      <c r="AD75" s="1032"/>
      <c r="AE75" s="1173"/>
      <c r="AF75" s="1032"/>
      <c r="AG75" s="1173"/>
      <c r="AH75" s="1032"/>
      <c r="AI75" s="1173"/>
      <c r="AJ75" s="1032"/>
      <c r="AK75" s="1173"/>
      <c r="AL75" s="1032"/>
      <c r="AM75" s="1173"/>
      <c r="AN75" s="1032"/>
      <c r="AO75" s="1173"/>
      <c r="AP75" s="1032"/>
      <c r="AQ75" s="1173"/>
      <c r="AR75" s="1032"/>
      <c r="AS75" s="1173"/>
      <c r="AT75" s="1032"/>
      <c r="AU75" s="1173"/>
      <c r="AV75" s="1032"/>
      <c r="AW75" s="1173"/>
      <c r="AX75" s="1032"/>
      <c r="AY75" s="1173"/>
      <c r="AZ75" s="1032"/>
      <c r="BA75" s="1173"/>
      <c r="BB75" s="1032"/>
      <c r="BC75" s="1173"/>
      <c r="BD75" s="1032"/>
      <c r="BE75" s="1173"/>
      <c r="BF75" s="1032"/>
      <c r="BG75" s="1173"/>
      <c r="BH75" s="1032"/>
      <c r="BI75" s="1173"/>
      <c r="BJ75" s="1032"/>
      <c r="BK75" s="1173"/>
      <c r="BL75" s="1032"/>
      <c r="BM75" s="1173"/>
      <c r="BN75" s="1032"/>
      <c r="BO75" s="1173"/>
      <c r="BP75" s="1032"/>
      <c r="BQ75" s="1173"/>
      <c r="BR75" s="1032"/>
      <c r="BS75" s="298" t="s">
        <v>734</v>
      </c>
      <c r="CF75" s="767">
        <v>0</v>
      </c>
    </row>
    <row s="1644" customFormat="1" customHeight="1" ht="11.549999999999999">
      <c r="A76" s="1042"/>
      <c r="B76" s="527"/>
      <c r="D76" s="1043"/>
      <c r="E76" s="10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644"/>
      <c r="AM76" s="1644"/>
      <c r="AN76" s="1644"/>
      <c r="AO76" s="1644"/>
      <c r="AP76" s="1644"/>
      <c r="AQ76" s="1644"/>
      <c r="AR76" s="1644"/>
      <c r="AS76" s="1644"/>
      <c r="AT76" s="1644"/>
      <c r="AU76" s="1644"/>
      <c r="AV76" s="1644"/>
      <c r="AW76" s="1644"/>
      <c r="AX76" s="1644"/>
      <c r="AY76" s="1644"/>
      <c r="AZ76" s="1644"/>
      <c r="BA76" s="1644"/>
      <c r="BB76" s="1644"/>
      <c r="BC76" s="1644"/>
      <c r="BD76" s="1644"/>
      <c r="BE76" s="1644"/>
      <c r="BF76" s="1644"/>
      <c r="BG76" s="1644"/>
      <c r="BH76" s="1644"/>
      <c r="BI76" s="1644"/>
      <c r="BJ76" s="1644"/>
      <c r="BK76" s="1644"/>
      <c r="BL76" s="1644"/>
      <c r="BM76" s="1644"/>
      <c r="BN76" s="1644"/>
      <c r="BO76" s="1644"/>
      <c r="BP76" s="1644"/>
      <c r="BQ76" s="1644"/>
      <c r="BR76" s="1644"/>
      <c r="CF76" s="518">
        <v>11</v>
      </c>
    </row>
    <row s="1644" customFormat="1" customHeight="1" ht="11.25" hidden="1">
      <c r="A77" s="2401" t="s">
        <v>1009</v>
      </c>
      <c r="B77" s="520"/>
      <c r="D77" s="674">
        <v>1</v>
      </c>
      <c r="E77" s="675" t="s">
        <v>1010</v>
      </c>
      <c r="F77" s="730" t="s">
        <v>912</v>
      </c>
      <c r="G77" s="733"/>
      <c r="H77" s="1032"/>
      <c r="I77" s="733"/>
      <c r="J77" s="1032"/>
      <c r="K77" s="733"/>
      <c r="L77" s="1032"/>
      <c r="M77" s="733"/>
      <c r="N77" s="1032"/>
      <c r="O77" s="733"/>
      <c r="P77" s="1032"/>
      <c r="Q77" s="733"/>
      <c r="R77" s="1032"/>
      <c r="S77" s="733"/>
      <c r="T77" s="1032"/>
      <c r="U77" s="733"/>
      <c r="V77" s="1032"/>
      <c r="W77" s="733"/>
      <c r="X77" s="1032"/>
      <c r="Y77" s="733"/>
      <c r="Z77" s="1032"/>
      <c r="AA77" s="733"/>
      <c r="AB77" s="1032"/>
      <c r="AC77" s="733"/>
      <c r="AD77" s="1032"/>
      <c r="AE77" s="733"/>
      <c r="AF77" s="1032"/>
      <c r="AG77" s="733"/>
      <c r="AH77" s="1032"/>
      <c r="AI77" s="733"/>
      <c r="AJ77" s="1032"/>
      <c r="AK77" s="733"/>
      <c r="AL77" s="1032"/>
      <c r="AM77" s="733"/>
      <c r="AN77" s="1032"/>
      <c r="AO77" s="733"/>
      <c r="AP77" s="1032"/>
      <c r="AQ77" s="733"/>
      <c r="AR77" s="1032"/>
      <c r="AS77" s="733"/>
      <c r="AT77" s="1032"/>
      <c r="AU77" s="733"/>
      <c r="AV77" s="1032"/>
      <c r="AW77" s="733"/>
      <c r="AX77" s="1032"/>
      <c r="AY77" s="733"/>
      <c r="AZ77" s="1032"/>
      <c r="BA77" s="733"/>
      <c r="BB77" s="1032"/>
      <c r="BC77" s="733"/>
      <c r="BD77" s="1032"/>
      <c r="BE77" s="733"/>
      <c r="BF77" s="1032"/>
      <c r="BG77" s="733"/>
      <c r="BH77" s="1032"/>
      <c r="BI77" s="733"/>
      <c r="BJ77" s="1032"/>
      <c r="BK77" s="733"/>
      <c r="BL77" s="1032"/>
      <c r="BM77" s="733"/>
      <c r="BN77" s="1032"/>
      <c r="BO77" s="733"/>
      <c r="BP77" s="1032"/>
      <c r="BQ77" s="733"/>
      <c r="BR77" s="1032"/>
      <c r="BS77" s="298" t="s">
        <v>1011</v>
      </c>
      <c r="CF77" s="767">
        <v>0</v>
      </c>
    </row>
    <row s="1644" customFormat="1" customHeight="1" ht="11.25" hidden="1">
      <c r="A78" s="2401"/>
      <c r="B78" s="520"/>
      <c r="D78" s="674" t="s">
        <v>110</v>
      </c>
      <c r="E78" s="675" t="s">
        <v>1012</v>
      </c>
      <c r="F78" s="730" t="s">
        <v>912</v>
      </c>
      <c r="G78" s="733"/>
      <c r="H78" s="1032"/>
      <c r="I78" s="733"/>
      <c r="J78" s="1032"/>
      <c r="K78" s="733"/>
      <c r="L78" s="1032"/>
      <c r="M78" s="733"/>
      <c r="N78" s="1032"/>
      <c r="O78" s="733"/>
      <c r="P78" s="1032"/>
      <c r="Q78" s="733"/>
      <c r="R78" s="1032"/>
      <c r="S78" s="733"/>
      <c r="T78" s="1032"/>
      <c r="U78" s="733"/>
      <c r="V78" s="1032"/>
      <c r="W78" s="733"/>
      <c r="X78" s="1032"/>
      <c r="Y78" s="733"/>
      <c r="Z78" s="1032"/>
      <c r="AA78" s="733"/>
      <c r="AB78" s="1032"/>
      <c r="AC78" s="733"/>
      <c r="AD78" s="1032"/>
      <c r="AE78" s="733"/>
      <c r="AF78" s="1032"/>
      <c r="AG78" s="733"/>
      <c r="AH78" s="1032"/>
      <c r="AI78" s="733"/>
      <c r="AJ78" s="1032"/>
      <c r="AK78" s="733"/>
      <c r="AL78" s="1032"/>
      <c r="AM78" s="733"/>
      <c r="AN78" s="1032"/>
      <c r="AO78" s="733"/>
      <c r="AP78" s="1032"/>
      <c r="AQ78" s="733"/>
      <c r="AR78" s="1032"/>
      <c r="AS78" s="733"/>
      <c r="AT78" s="1032"/>
      <c r="AU78" s="733"/>
      <c r="AV78" s="1032"/>
      <c r="AW78" s="733"/>
      <c r="AX78" s="1032"/>
      <c r="AY78" s="733"/>
      <c r="AZ78" s="1032"/>
      <c r="BA78" s="733"/>
      <c r="BB78" s="1032"/>
      <c r="BC78" s="733"/>
      <c r="BD78" s="1032"/>
      <c r="BE78" s="733"/>
      <c r="BF78" s="1032"/>
      <c r="BG78" s="733"/>
      <c r="BH78" s="1032"/>
      <c r="BI78" s="733"/>
      <c r="BJ78" s="1032"/>
      <c r="BK78" s="733"/>
      <c r="BL78" s="1032"/>
      <c r="BM78" s="733"/>
      <c r="BN78" s="1032"/>
      <c r="BO78" s="733"/>
      <c r="BP78" s="1032"/>
      <c r="BQ78" s="733"/>
      <c r="BR78" s="1032"/>
      <c r="BS78" s="298" t="s">
        <v>1013</v>
      </c>
      <c r="CF78" s="767">
        <v>0</v>
      </c>
    </row>
    <row s="1644" customFormat="1" customHeight="1" ht="22.5" hidden="1">
      <c r="A79" s="2401"/>
      <c r="B79" s="520"/>
      <c r="D79" s="674" t="s">
        <v>90</v>
      </c>
      <c r="E79" s="731" t="s">
        <v>1014</v>
      </c>
      <c r="F79" s="669" t="s">
        <v>961</v>
      </c>
      <c r="G79" s="733"/>
      <c r="H79" s="1032"/>
      <c r="I79" s="733"/>
      <c r="J79" s="1032"/>
      <c r="K79" s="733"/>
      <c r="L79" s="1032"/>
      <c r="M79" s="733"/>
      <c r="N79" s="1032"/>
      <c r="O79" s="733"/>
      <c r="P79" s="1032"/>
      <c r="Q79" s="733"/>
      <c r="R79" s="1032"/>
      <c r="S79" s="733"/>
      <c r="T79" s="1032"/>
      <c r="U79" s="733"/>
      <c r="V79" s="1032"/>
      <c r="W79" s="733"/>
      <c r="X79" s="1032"/>
      <c r="Y79" s="733"/>
      <c r="Z79" s="1032"/>
      <c r="AA79" s="733"/>
      <c r="AB79" s="1032"/>
      <c r="AC79" s="733"/>
      <c r="AD79" s="1032"/>
      <c r="AE79" s="733"/>
      <c r="AF79" s="1032"/>
      <c r="AG79" s="733"/>
      <c r="AH79" s="1032"/>
      <c r="AI79" s="733"/>
      <c r="AJ79" s="1032"/>
      <c r="AK79" s="733"/>
      <c r="AL79" s="1032"/>
      <c r="AM79" s="733"/>
      <c r="AN79" s="1032"/>
      <c r="AO79" s="733"/>
      <c r="AP79" s="1032"/>
      <c r="AQ79" s="733"/>
      <c r="AR79" s="1032"/>
      <c r="AS79" s="733"/>
      <c r="AT79" s="1032"/>
      <c r="AU79" s="733"/>
      <c r="AV79" s="1032"/>
      <c r="AW79" s="733"/>
      <c r="AX79" s="1032"/>
      <c r="AY79" s="733"/>
      <c r="AZ79" s="1032"/>
      <c r="BA79" s="733"/>
      <c r="BB79" s="1032"/>
      <c r="BC79" s="733"/>
      <c r="BD79" s="1032"/>
      <c r="BE79" s="733"/>
      <c r="BF79" s="1032"/>
      <c r="BG79" s="733"/>
      <c r="BH79" s="1032"/>
      <c r="BI79" s="733"/>
      <c r="BJ79" s="1032"/>
      <c r="BK79" s="733"/>
      <c r="BL79" s="1032"/>
      <c r="BM79" s="733"/>
      <c r="BN79" s="1032"/>
      <c r="BO79" s="733"/>
      <c r="BP79" s="1032"/>
      <c r="BQ79" s="733"/>
      <c r="BR79" s="1032"/>
      <c r="BS79" s="298" t="s">
        <v>1015</v>
      </c>
      <c r="CF79" s="767">
        <v>0</v>
      </c>
    </row>
    <row s="1644" customFormat="1" customHeight="1" ht="11.25" hidden="1">
      <c r="A80" s="2401"/>
      <c r="B80" s="520"/>
      <c r="D80" s="674" t="s">
        <v>397</v>
      </c>
      <c r="E80" s="732" t="s">
        <v>1016</v>
      </c>
      <c r="F80" s="669" t="s">
        <v>961</v>
      </c>
      <c r="G80" s="733"/>
      <c r="H80" s="1032"/>
      <c r="I80" s="733"/>
      <c r="J80" s="1032"/>
      <c r="K80" s="733"/>
      <c r="L80" s="1032"/>
      <c r="M80" s="733"/>
      <c r="N80" s="1032"/>
      <c r="O80" s="733"/>
      <c r="P80" s="1032"/>
      <c r="Q80" s="733"/>
      <c r="R80" s="1032"/>
      <c r="S80" s="733"/>
      <c r="T80" s="1032"/>
      <c r="U80" s="733"/>
      <c r="V80" s="1032"/>
      <c r="W80" s="733"/>
      <c r="X80" s="1032"/>
      <c r="Y80" s="733"/>
      <c r="Z80" s="1032"/>
      <c r="AA80" s="733"/>
      <c r="AB80" s="1032"/>
      <c r="AC80" s="733"/>
      <c r="AD80" s="1032"/>
      <c r="AE80" s="733"/>
      <c r="AF80" s="1032"/>
      <c r="AG80" s="733"/>
      <c r="AH80" s="1032"/>
      <c r="AI80" s="733"/>
      <c r="AJ80" s="1032"/>
      <c r="AK80" s="733"/>
      <c r="AL80" s="1032"/>
      <c r="AM80" s="733"/>
      <c r="AN80" s="1032"/>
      <c r="AO80" s="733"/>
      <c r="AP80" s="1032"/>
      <c r="AQ80" s="733"/>
      <c r="AR80" s="1032"/>
      <c r="AS80" s="733"/>
      <c r="AT80" s="1032"/>
      <c r="AU80" s="733"/>
      <c r="AV80" s="1032"/>
      <c r="AW80" s="733"/>
      <c r="AX80" s="1032"/>
      <c r="AY80" s="733"/>
      <c r="AZ80" s="1032"/>
      <c r="BA80" s="733"/>
      <c r="BB80" s="1032"/>
      <c r="BC80" s="733"/>
      <c r="BD80" s="1032"/>
      <c r="BE80" s="733"/>
      <c r="BF80" s="1032"/>
      <c r="BG80" s="733"/>
      <c r="BH80" s="1032"/>
      <c r="BI80" s="733"/>
      <c r="BJ80" s="1032"/>
      <c r="BK80" s="733"/>
      <c r="BL80" s="1032"/>
      <c r="BM80" s="733"/>
      <c r="BN80" s="1032"/>
      <c r="BO80" s="733"/>
      <c r="BP80" s="1032"/>
      <c r="BQ80" s="733"/>
      <c r="BR80" s="1032"/>
      <c r="BS80" s="298"/>
      <c r="CF80" s="767">
        <v>0</v>
      </c>
    </row>
    <row s="1644" customFormat="1" customHeight="1" ht="11.25" hidden="1">
      <c r="A81" s="2401"/>
      <c r="B81" s="520"/>
      <c r="D81" s="674" t="s">
        <v>405</v>
      </c>
      <c r="E81" s="732" t="s">
        <v>1017</v>
      </c>
      <c r="F81" s="669" t="s">
        <v>961</v>
      </c>
      <c r="G81" s="733"/>
      <c r="H81" s="1032"/>
      <c r="I81" s="733"/>
      <c r="J81" s="1032"/>
      <c r="K81" s="733"/>
      <c r="L81" s="1032"/>
      <c r="M81" s="733"/>
      <c r="N81" s="1032"/>
      <c r="O81" s="733"/>
      <c r="P81" s="1032"/>
      <c r="Q81" s="733"/>
      <c r="R81" s="1032"/>
      <c r="S81" s="733"/>
      <c r="T81" s="1032"/>
      <c r="U81" s="733"/>
      <c r="V81" s="1032"/>
      <c r="W81" s="733"/>
      <c r="X81" s="1032"/>
      <c r="Y81" s="733"/>
      <c r="Z81" s="1032"/>
      <c r="AA81" s="733"/>
      <c r="AB81" s="1032"/>
      <c r="AC81" s="733"/>
      <c r="AD81" s="1032"/>
      <c r="AE81" s="733"/>
      <c r="AF81" s="1032"/>
      <c r="AG81" s="733"/>
      <c r="AH81" s="1032"/>
      <c r="AI81" s="733"/>
      <c r="AJ81" s="1032"/>
      <c r="AK81" s="733"/>
      <c r="AL81" s="1032"/>
      <c r="AM81" s="733"/>
      <c r="AN81" s="1032"/>
      <c r="AO81" s="733"/>
      <c r="AP81" s="1032"/>
      <c r="AQ81" s="733"/>
      <c r="AR81" s="1032"/>
      <c r="AS81" s="733"/>
      <c r="AT81" s="1032"/>
      <c r="AU81" s="733"/>
      <c r="AV81" s="1032"/>
      <c r="AW81" s="733"/>
      <c r="AX81" s="1032"/>
      <c r="AY81" s="733"/>
      <c r="AZ81" s="1032"/>
      <c r="BA81" s="733"/>
      <c r="BB81" s="1032"/>
      <c r="BC81" s="733"/>
      <c r="BD81" s="1032"/>
      <c r="BE81" s="733"/>
      <c r="BF81" s="1032"/>
      <c r="BG81" s="733"/>
      <c r="BH81" s="1032"/>
      <c r="BI81" s="733"/>
      <c r="BJ81" s="1032"/>
      <c r="BK81" s="733"/>
      <c r="BL81" s="1032"/>
      <c r="BM81" s="733"/>
      <c r="BN81" s="1032"/>
      <c r="BO81" s="733"/>
      <c r="BP81" s="1032"/>
      <c r="BQ81" s="733"/>
      <c r="BR81" s="1032"/>
      <c r="BS81" s="298"/>
      <c r="CF81" s="767">
        <v>0</v>
      </c>
    </row>
    <row s="1644" customFormat="1" customHeight="1" ht="11.25" hidden="1">
      <c r="A82" s="2401"/>
      <c r="B82" s="520"/>
      <c r="D82" s="674" t="s">
        <v>407</v>
      </c>
      <c r="E82" s="732" t="s">
        <v>1018</v>
      </c>
      <c r="F82" s="669" t="s">
        <v>961</v>
      </c>
      <c r="G82" s="733"/>
      <c r="H82" s="1032"/>
      <c r="I82" s="733"/>
      <c r="J82" s="1032"/>
      <c r="K82" s="733"/>
      <c r="L82" s="1032"/>
      <c r="M82" s="733"/>
      <c r="N82" s="1032"/>
      <c r="O82" s="733"/>
      <c r="P82" s="1032"/>
      <c r="Q82" s="733"/>
      <c r="R82" s="1032"/>
      <c r="S82" s="733"/>
      <c r="T82" s="1032"/>
      <c r="U82" s="733"/>
      <c r="V82" s="1032"/>
      <c r="W82" s="733"/>
      <c r="X82" s="1032"/>
      <c r="Y82" s="733"/>
      <c r="Z82" s="1032"/>
      <c r="AA82" s="733"/>
      <c r="AB82" s="1032"/>
      <c r="AC82" s="733"/>
      <c r="AD82" s="1032"/>
      <c r="AE82" s="733"/>
      <c r="AF82" s="1032"/>
      <c r="AG82" s="733"/>
      <c r="AH82" s="1032"/>
      <c r="AI82" s="733"/>
      <c r="AJ82" s="1032"/>
      <c r="AK82" s="733"/>
      <c r="AL82" s="1032"/>
      <c r="AM82" s="733"/>
      <c r="AN82" s="1032"/>
      <c r="AO82" s="733"/>
      <c r="AP82" s="1032"/>
      <c r="AQ82" s="733"/>
      <c r="AR82" s="1032"/>
      <c r="AS82" s="733"/>
      <c r="AT82" s="1032"/>
      <c r="AU82" s="733"/>
      <c r="AV82" s="1032"/>
      <c r="AW82" s="733"/>
      <c r="AX82" s="1032"/>
      <c r="AY82" s="733"/>
      <c r="AZ82" s="1032"/>
      <c r="BA82" s="733"/>
      <c r="BB82" s="1032"/>
      <c r="BC82" s="733"/>
      <c r="BD82" s="1032"/>
      <c r="BE82" s="733"/>
      <c r="BF82" s="1032"/>
      <c r="BG82" s="733"/>
      <c r="BH82" s="1032"/>
      <c r="BI82" s="733"/>
      <c r="BJ82" s="1032"/>
      <c r="BK82" s="733"/>
      <c r="BL82" s="1032"/>
      <c r="BM82" s="733"/>
      <c r="BN82" s="1032"/>
      <c r="BO82" s="733"/>
      <c r="BP82" s="1032"/>
      <c r="BQ82" s="733"/>
      <c r="BR82" s="1032"/>
      <c r="BS82" s="298"/>
      <c r="CF82" s="767">
        <v>0</v>
      </c>
    </row>
    <row s="1644" customFormat="1" customHeight="1" ht="11.25" hidden="1">
      <c r="A83" s="2401"/>
      <c r="B83" s="520"/>
      <c r="D83" s="674" t="s">
        <v>409</v>
      </c>
      <c r="E83" s="732" t="s">
        <v>1019</v>
      </c>
      <c r="F83" s="669" t="s">
        <v>961</v>
      </c>
      <c r="G83" s="733"/>
      <c r="H83" s="1032"/>
      <c r="I83" s="733"/>
      <c r="J83" s="1032"/>
      <c r="K83" s="733"/>
      <c r="L83" s="1032"/>
      <c r="M83" s="733"/>
      <c r="N83" s="1032"/>
      <c r="O83" s="733"/>
      <c r="P83" s="1032"/>
      <c r="Q83" s="733"/>
      <c r="R83" s="1032"/>
      <c r="S83" s="733"/>
      <c r="T83" s="1032"/>
      <c r="U83" s="733"/>
      <c r="V83" s="1032"/>
      <c r="W83" s="733"/>
      <c r="X83" s="1032"/>
      <c r="Y83" s="733"/>
      <c r="Z83" s="1032"/>
      <c r="AA83" s="733"/>
      <c r="AB83" s="1032"/>
      <c r="AC83" s="733"/>
      <c r="AD83" s="1032"/>
      <c r="AE83" s="733"/>
      <c r="AF83" s="1032"/>
      <c r="AG83" s="733"/>
      <c r="AH83" s="1032"/>
      <c r="AI83" s="733"/>
      <c r="AJ83" s="1032"/>
      <c r="AK83" s="733"/>
      <c r="AL83" s="1032"/>
      <c r="AM83" s="733"/>
      <c r="AN83" s="1032"/>
      <c r="AO83" s="733"/>
      <c r="AP83" s="1032"/>
      <c r="AQ83" s="733"/>
      <c r="AR83" s="1032"/>
      <c r="AS83" s="733"/>
      <c r="AT83" s="1032"/>
      <c r="AU83" s="733"/>
      <c r="AV83" s="1032"/>
      <c r="AW83" s="733"/>
      <c r="AX83" s="1032"/>
      <c r="AY83" s="733"/>
      <c r="AZ83" s="1032"/>
      <c r="BA83" s="733"/>
      <c r="BB83" s="1032"/>
      <c r="BC83" s="733"/>
      <c r="BD83" s="1032"/>
      <c r="BE83" s="733"/>
      <c r="BF83" s="1032"/>
      <c r="BG83" s="733"/>
      <c r="BH83" s="1032"/>
      <c r="BI83" s="733"/>
      <c r="BJ83" s="1032"/>
      <c r="BK83" s="733"/>
      <c r="BL83" s="1032"/>
      <c r="BM83" s="733"/>
      <c r="BN83" s="1032"/>
      <c r="BO83" s="733"/>
      <c r="BP83" s="1032"/>
      <c r="BQ83" s="733"/>
      <c r="BR83" s="1032"/>
      <c r="BS83" s="298"/>
      <c r="CF83" s="767">
        <v>0</v>
      </c>
    </row>
    <row s="1644" customFormat="1" customHeight="1" ht="11.25" hidden="1">
      <c r="A84" s="2401"/>
      <c r="B84" s="520"/>
      <c r="D84" s="674" t="s">
        <v>1020</v>
      </c>
      <c r="E84" s="732" t="s">
        <v>1021</v>
      </c>
      <c r="F84" s="669" t="s">
        <v>961</v>
      </c>
      <c r="G84" s="733"/>
      <c r="H84" s="1032"/>
      <c r="I84" s="733"/>
      <c r="J84" s="1032"/>
      <c r="K84" s="733"/>
      <c r="L84" s="1032"/>
      <c r="M84" s="733"/>
      <c r="N84" s="1032"/>
      <c r="O84" s="733"/>
      <c r="P84" s="1032"/>
      <c r="Q84" s="733"/>
      <c r="R84" s="1032"/>
      <c r="S84" s="733"/>
      <c r="T84" s="1032"/>
      <c r="U84" s="733"/>
      <c r="V84" s="1032"/>
      <c r="W84" s="733"/>
      <c r="X84" s="1032"/>
      <c r="Y84" s="733"/>
      <c r="Z84" s="1032"/>
      <c r="AA84" s="733"/>
      <c r="AB84" s="1032"/>
      <c r="AC84" s="733"/>
      <c r="AD84" s="1032"/>
      <c r="AE84" s="733"/>
      <c r="AF84" s="1032"/>
      <c r="AG84" s="733"/>
      <c r="AH84" s="1032"/>
      <c r="AI84" s="733"/>
      <c r="AJ84" s="1032"/>
      <c r="AK84" s="733"/>
      <c r="AL84" s="1032"/>
      <c r="AM84" s="733"/>
      <c r="AN84" s="1032"/>
      <c r="AO84" s="733"/>
      <c r="AP84" s="1032"/>
      <c r="AQ84" s="733"/>
      <c r="AR84" s="1032"/>
      <c r="AS84" s="733"/>
      <c r="AT84" s="1032"/>
      <c r="AU84" s="733"/>
      <c r="AV84" s="1032"/>
      <c r="AW84" s="733"/>
      <c r="AX84" s="1032"/>
      <c r="AY84" s="733"/>
      <c r="AZ84" s="1032"/>
      <c r="BA84" s="733"/>
      <c r="BB84" s="1032"/>
      <c r="BC84" s="733"/>
      <c r="BD84" s="1032"/>
      <c r="BE84" s="733"/>
      <c r="BF84" s="1032"/>
      <c r="BG84" s="733"/>
      <c r="BH84" s="1032"/>
      <c r="BI84" s="733"/>
      <c r="BJ84" s="1032"/>
      <c r="BK84" s="733"/>
      <c r="BL84" s="1032"/>
      <c r="BM84" s="733"/>
      <c r="BN84" s="1032"/>
      <c r="BO84" s="733"/>
      <c r="BP84" s="1032"/>
      <c r="BQ84" s="733"/>
      <c r="BR84" s="1032"/>
      <c r="BS84" s="298"/>
      <c r="CF84" s="767">
        <v>0</v>
      </c>
    </row>
    <row s="1644" customFormat="1" customHeight="1" ht="11.25" hidden="1">
      <c r="A85" s="2401"/>
      <c r="B85" s="520"/>
      <c r="D85" s="674" t="s">
        <v>1022</v>
      </c>
      <c r="E85" s="732" t="s">
        <v>1023</v>
      </c>
      <c r="F85" s="669" t="s">
        <v>961</v>
      </c>
      <c r="G85" s="733"/>
      <c r="H85" s="1032"/>
      <c r="I85" s="733"/>
      <c r="J85" s="1032"/>
      <c r="K85" s="733"/>
      <c r="L85" s="1032"/>
      <c r="M85" s="733"/>
      <c r="N85" s="1032"/>
      <c r="O85" s="733"/>
      <c r="P85" s="1032"/>
      <c r="Q85" s="733"/>
      <c r="R85" s="1032"/>
      <c r="S85" s="733"/>
      <c r="T85" s="1032"/>
      <c r="U85" s="733"/>
      <c r="V85" s="1032"/>
      <c r="W85" s="733"/>
      <c r="X85" s="1032"/>
      <c r="Y85" s="733"/>
      <c r="Z85" s="1032"/>
      <c r="AA85" s="733"/>
      <c r="AB85" s="1032"/>
      <c r="AC85" s="733"/>
      <c r="AD85" s="1032"/>
      <c r="AE85" s="733"/>
      <c r="AF85" s="1032"/>
      <c r="AG85" s="733"/>
      <c r="AH85" s="1032"/>
      <c r="AI85" s="733"/>
      <c r="AJ85" s="1032"/>
      <c r="AK85" s="733"/>
      <c r="AL85" s="1032"/>
      <c r="AM85" s="733"/>
      <c r="AN85" s="1032"/>
      <c r="AO85" s="733"/>
      <c r="AP85" s="1032"/>
      <c r="AQ85" s="733"/>
      <c r="AR85" s="1032"/>
      <c r="AS85" s="733"/>
      <c r="AT85" s="1032"/>
      <c r="AU85" s="733"/>
      <c r="AV85" s="1032"/>
      <c r="AW85" s="733"/>
      <c r="AX85" s="1032"/>
      <c r="AY85" s="733"/>
      <c r="AZ85" s="1032"/>
      <c r="BA85" s="733"/>
      <c r="BB85" s="1032"/>
      <c r="BC85" s="733"/>
      <c r="BD85" s="1032"/>
      <c r="BE85" s="733"/>
      <c r="BF85" s="1032"/>
      <c r="BG85" s="733"/>
      <c r="BH85" s="1032"/>
      <c r="BI85" s="733"/>
      <c r="BJ85" s="1032"/>
      <c r="BK85" s="733"/>
      <c r="BL85" s="1032"/>
      <c r="BM85" s="733"/>
      <c r="BN85" s="1032"/>
      <c r="BO85" s="733"/>
      <c r="BP85" s="1032"/>
      <c r="BQ85" s="733"/>
      <c r="BR85" s="1032"/>
      <c r="BS85" s="298"/>
      <c r="CF85" s="767">
        <v>0</v>
      </c>
    </row>
    <row s="1644" customFormat="1" customHeight="1" ht="11.25" hidden="1">
      <c r="A86" s="2401"/>
      <c r="B86" s="520"/>
      <c r="D86" s="674" t="s">
        <v>1024</v>
      </c>
      <c r="E86" s="732" t="s">
        <v>1025</v>
      </c>
      <c r="F86" s="669" t="s">
        <v>961</v>
      </c>
      <c r="G86" s="733"/>
      <c r="H86" s="1032"/>
      <c r="I86" s="733"/>
      <c r="J86" s="1032"/>
      <c r="K86" s="733"/>
      <c r="L86" s="1032"/>
      <c r="M86" s="733"/>
      <c r="N86" s="1032"/>
      <c r="O86" s="733"/>
      <c r="P86" s="1032"/>
      <c r="Q86" s="733"/>
      <c r="R86" s="1032"/>
      <c r="S86" s="733"/>
      <c r="T86" s="1032"/>
      <c r="U86" s="733"/>
      <c r="V86" s="1032"/>
      <c r="W86" s="733"/>
      <c r="X86" s="1032"/>
      <c r="Y86" s="733"/>
      <c r="Z86" s="1032"/>
      <c r="AA86" s="733"/>
      <c r="AB86" s="1032"/>
      <c r="AC86" s="733"/>
      <c r="AD86" s="1032"/>
      <c r="AE86" s="733"/>
      <c r="AF86" s="1032"/>
      <c r="AG86" s="733"/>
      <c r="AH86" s="1032"/>
      <c r="AI86" s="733"/>
      <c r="AJ86" s="1032"/>
      <c r="AK86" s="733"/>
      <c r="AL86" s="1032"/>
      <c r="AM86" s="733"/>
      <c r="AN86" s="1032"/>
      <c r="AO86" s="733"/>
      <c r="AP86" s="1032"/>
      <c r="AQ86" s="733"/>
      <c r="AR86" s="1032"/>
      <c r="AS86" s="733"/>
      <c r="AT86" s="1032"/>
      <c r="AU86" s="733"/>
      <c r="AV86" s="1032"/>
      <c r="AW86" s="733"/>
      <c r="AX86" s="1032"/>
      <c r="AY86" s="733"/>
      <c r="AZ86" s="1032"/>
      <c r="BA86" s="733"/>
      <c r="BB86" s="1032"/>
      <c r="BC86" s="733"/>
      <c r="BD86" s="1032"/>
      <c r="BE86" s="733"/>
      <c r="BF86" s="1032"/>
      <c r="BG86" s="733"/>
      <c r="BH86" s="1032"/>
      <c r="BI86" s="733"/>
      <c r="BJ86" s="1032"/>
      <c r="BK86" s="733"/>
      <c r="BL86" s="1032"/>
      <c r="BM86" s="733"/>
      <c r="BN86" s="1032"/>
      <c r="BO86" s="733"/>
      <c r="BP86" s="1032"/>
      <c r="BQ86" s="733"/>
      <c r="BR86" s="1032"/>
      <c r="BS86" s="298"/>
      <c r="CF86" s="767">
        <v>0</v>
      </c>
    </row>
    <row s="1644" customFormat="1" customHeight="1" ht="45" hidden="1">
      <c r="A87" s="2401"/>
      <c r="B87" s="520"/>
      <c r="D87" s="674" t="s">
        <v>91</v>
      </c>
      <c r="E87" s="675" t="s">
        <v>1026</v>
      </c>
      <c r="F87" s="669" t="s">
        <v>961</v>
      </c>
      <c r="G87" s="733"/>
      <c r="H87" s="1032"/>
      <c r="I87" s="733"/>
      <c r="J87" s="1032"/>
      <c r="K87" s="733"/>
      <c r="L87" s="1032"/>
      <c r="M87" s="733"/>
      <c r="N87" s="1032"/>
      <c r="O87" s="733"/>
      <c r="P87" s="1032"/>
      <c r="Q87" s="733"/>
      <c r="R87" s="1032"/>
      <c r="S87" s="733"/>
      <c r="T87" s="1032"/>
      <c r="U87" s="733"/>
      <c r="V87" s="1032"/>
      <c r="W87" s="733"/>
      <c r="X87" s="1032"/>
      <c r="Y87" s="733"/>
      <c r="Z87" s="1032"/>
      <c r="AA87" s="733"/>
      <c r="AB87" s="1032"/>
      <c r="AC87" s="733"/>
      <c r="AD87" s="1032"/>
      <c r="AE87" s="733"/>
      <c r="AF87" s="1032"/>
      <c r="AG87" s="733"/>
      <c r="AH87" s="1032"/>
      <c r="AI87" s="733"/>
      <c r="AJ87" s="1032"/>
      <c r="AK87" s="733"/>
      <c r="AL87" s="1032"/>
      <c r="AM87" s="733"/>
      <c r="AN87" s="1032"/>
      <c r="AO87" s="733"/>
      <c r="AP87" s="1032"/>
      <c r="AQ87" s="733"/>
      <c r="AR87" s="1032"/>
      <c r="AS87" s="733"/>
      <c r="AT87" s="1032"/>
      <c r="AU87" s="733"/>
      <c r="AV87" s="1032"/>
      <c r="AW87" s="733"/>
      <c r="AX87" s="1032"/>
      <c r="AY87" s="733"/>
      <c r="AZ87" s="1032"/>
      <c r="BA87" s="733"/>
      <c r="BB87" s="1032"/>
      <c r="BC87" s="733"/>
      <c r="BD87" s="1032"/>
      <c r="BE87" s="733"/>
      <c r="BF87" s="1032"/>
      <c r="BG87" s="733"/>
      <c r="BH87" s="1032"/>
      <c r="BI87" s="733"/>
      <c r="BJ87" s="1032"/>
      <c r="BK87" s="733"/>
      <c r="BL87" s="1032"/>
      <c r="BM87" s="733"/>
      <c r="BN87" s="1032"/>
      <c r="BO87" s="733"/>
      <c r="BP87" s="1032"/>
      <c r="BQ87" s="733"/>
      <c r="BR87" s="1032"/>
      <c r="BS87" s="298" t="s">
        <v>1027</v>
      </c>
      <c r="CF87" s="767">
        <v>0</v>
      </c>
    </row>
    <row s="1644" customFormat="1" customHeight="1" ht="11.25" hidden="1">
      <c r="A88" s="2401"/>
      <c r="B88" s="520"/>
      <c r="D88" s="674" t="s">
        <v>856</v>
      </c>
      <c r="E88" s="732" t="s">
        <v>1016</v>
      </c>
      <c r="F88" s="669" t="s">
        <v>961</v>
      </c>
      <c r="G88" s="733"/>
      <c r="H88" s="1032"/>
      <c r="I88" s="733"/>
      <c r="J88" s="1032"/>
      <c r="K88" s="733"/>
      <c r="L88" s="1032"/>
      <c r="M88" s="733"/>
      <c r="N88" s="1032"/>
      <c r="O88" s="733"/>
      <c r="P88" s="1032"/>
      <c r="Q88" s="733"/>
      <c r="R88" s="1032"/>
      <c r="S88" s="733"/>
      <c r="T88" s="1032"/>
      <c r="U88" s="733"/>
      <c r="V88" s="1032"/>
      <c r="W88" s="733"/>
      <c r="X88" s="1032"/>
      <c r="Y88" s="733"/>
      <c r="Z88" s="1032"/>
      <c r="AA88" s="733"/>
      <c r="AB88" s="1032"/>
      <c r="AC88" s="733"/>
      <c r="AD88" s="1032"/>
      <c r="AE88" s="733"/>
      <c r="AF88" s="1032"/>
      <c r="AG88" s="733"/>
      <c r="AH88" s="1032"/>
      <c r="AI88" s="733"/>
      <c r="AJ88" s="1032"/>
      <c r="AK88" s="733"/>
      <c r="AL88" s="1032"/>
      <c r="AM88" s="733"/>
      <c r="AN88" s="1032"/>
      <c r="AO88" s="733"/>
      <c r="AP88" s="1032"/>
      <c r="AQ88" s="733"/>
      <c r="AR88" s="1032"/>
      <c r="AS88" s="733"/>
      <c r="AT88" s="1032"/>
      <c r="AU88" s="733"/>
      <c r="AV88" s="1032"/>
      <c r="AW88" s="733"/>
      <c r="AX88" s="1032"/>
      <c r="AY88" s="733"/>
      <c r="AZ88" s="1032"/>
      <c r="BA88" s="733"/>
      <c r="BB88" s="1032"/>
      <c r="BC88" s="733"/>
      <c r="BD88" s="1032"/>
      <c r="BE88" s="733"/>
      <c r="BF88" s="1032"/>
      <c r="BG88" s="733"/>
      <c r="BH88" s="1032"/>
      <c r="BI88" s="733"/>
      <c r="BJ88" s="1032"/>
      <c r="BK88" s="733"/>
      <c r="BL88" s="1032"/>
      <c r="BM88" s="733"/>
      <c r="BN88" s="1032"/>
      <c r="BO88" s="733"/>
      <c r="BP88" s="1032"/>
      <c r="BQ88" s="733"/>
      <c r="BR88" s="1032"/>
      <c r="BS88" s="298"/>
      <c r="CF88" s="767">
        <v>0</v>
      </c>
    </row>
    <row s="1644" customFormat="1" customHeight="1" ht="11.25" hidden="1">
      <c r="A89" s="2401"/>
      <c r="B89" s="520"/>
      <c r="D89" s="674" t="s">
        <v>898</v>
      </c>
      <c r="E89" s="732" t="s">
        <v>1017</v>
      </c>
      <c r="F89" s="669" t="s">
        <v>961</v>
      </c>
      <c r="G89" s="733"/>
      <c r="H89" s="1032"/>
      <c r="I89" s="733"/>
      <c r="J89" s="1032"/>
      <c r="K89" s="733"/>
      <c r="L89" s="1032"/>
      <c r="M89" s="733"/>
      <c r="N89" s="1032"/>
      <c r="O89" s="733"/>
      <c r="P89" s="1032"/>
      <c r="Q89" s="733"/>
      <c r="R89" s="1032"/>
      <c r="S89" s="733"/>
      <c r="T89" s="1032"/>
      <c r="U89" s="733"/>
      <c r="V89" s="1032"/>
      <c r="W89" s="733"/>
      <c r="X89" s="1032"/>
      <c r="Y89" s="733"/>
      <c r="Z89" s="1032"/>
      <c r="AA89" s="733"/>
      <c r="AB89" s="1032"/>
      <c r="AC89" s="733"/>
      <c r="AD89" s="1032"/>
      <c r="AE89" s="733"/>
      <c r="AF89" s="1032"/>
      <c r="AG89" s="733"/>
      <c r="AH89" s="1032"/>
      <c r="AI89" s="733"/>
      <c r="AJ89" s="1032"/>
      <c r="AK89" s="733"/>
      <c r="AL89" s="1032"/>
      <c r="AM89" s="733"/>
      <c r="AN89" s="1032"/>
      <c r="AO89" s="733"/>
      <c r="AP89" s="1032"/>
      <c r="AQ89" s="733"/>
      <c r="AR89" s="1032"/>
      <c r="AS89" s="733"/>
      <c r="AT89" s="1032"/>
      <c r="AU89" s="733"/>
      <c r="AV89" s="1032"/>
      <c r="AW89" s="733"/>
      <c r="AX89" s="1032"/>
      <c r="AY89" s="733"/>
      <c r="AZ89" s="1032"/>
      <c r="BA89" s="733"/>
      <c r="BB89" s="1032"/>
      <c r="BC89" s="733"/>
      <c r="BD89" s="1032"/>
      <c r="BE89" s="733"/>
      <c r="BF89" s="1032"/>
      <c r="BG89" s="733"/>
      <c r="BH89" s="1032"/>
      <c r="BI89" s="733"/>
      <c r="BJ89" s="1032"/>
      <c r="BK89" s="733"/>
      <c r="BL89" s="1032"/>
      <c r="BM89" s="733"/>
      <c r="BN89" s="1032"/>
      <c r="BO89" s="733"/>
      <c r="BP89" s="1032"/>
      <c r="BQ89" s="733"/>
      <c r="BR89" s="1032"/>
      <c r="BS89" s="298"/>
      <c r="CF89" s="767">
        <v>0</v>
      </c>
    </row>
    <row s="1644" customFormat="1" customHeight="1" ht="11.25" hidden="1">
      <c r="A90" s="2401"/>
      <c r="B90" s="520"/>
      <c r="D90" s="674" t="s">
        <v>901</v>
      </c>
      <c r="E90" s="732" t="s">
        <v>1018</v>
      </c>
      <c r="F90" s="669" t="s">
        <v>961</v>
      </c>
      <c r="G90" s="733"/>
      <c r="H90" s="1032"/>
      <c r="I90" s="733"/>
      <c r="J90" s="1032"/>
      <c r="K90" s="733"/>
      <c r="L90" s="1032"/>
      <c r="M90" s="733"/>
      <c r="N90" s="1032"/>
      <c r="O90" s="733"/>
      <c r="P90" s="1032"/>
      <c r="Q90" s="733"/>
      <c r="R90" s="1032"/>
      <c r="S90" s="733"/>
      <c r="T90" s="1032"/>
      <c r="U90" s="733"/>
      <c r="V90" s="1032"/>
      <c r="W90" s="733"/>
      <c r="X90" s="1032"/>
      <c r="Y90" s="733"/>
      <c r="Z90" s="1032"/>
      <c r="AA90" s="733"/>
      <c r="AB90" s="1032"/>
      <c r="AC90" s="733"/>
      <c r="AD90" s="1032"/>
      <c r="AE90" s="733"/>
      <c r="AF90" s="1032"/>
      <c r="AG90" s="733"/>
      <c r="AH90" s="1032"/>
      <c r="AI90" s="733"/>
      <c r="AJ90" s="1032"/>
      <c r="AK90" s="733"/>
      <c r="AL90" s="1032"/>
      <c r="AM90" s="733"/>
      <c r="AN90" s="1032"/>
      <c r="AO90" s="733"/>
      <c r="AP90" s="1032"/>
      <c r="AQ90" s="733"/>
      <c r="AR90" s="1032"/>
      <c r="AS90" s="733"/>
      <c r="AT90" s="1032"/>
      <c r="AU90" s="733"/>
      <c r="AV90" s="1032"/>
      <c r="AW90" s="733"/>
      <c r="AX90" s="1032"/>
      <c r="AY90" s="733"/>
      <c r="AZ90" s="1032"/>
      <c r="BA90" s="733"/>
      <c r="BB90" s="1032"/>
      <c r="BC90" s="733"/>
      <c r="BD90" s="1032"/>
      <c r="BE90" s="733"/>
      <c r="BF90" s="1032"/>
      <c r="BG90" s="733"/>
      <c r="BH90" s="1032"/>
      <c r="BI90" s="733"/>
      <c r="BJ90" s="1032"/>
      <c r="BK90" s="733"/>
      <c r="BL90" s="1032"/>
      <c r="BM90" s="733"/>
      <c r="BN90" s="1032"/>
      <c r="BO90" s="733"/>
      <c r="BP90" s="1032"/>
      <c r="BQ90" s="733"/>
      <c r="BR90" s="1032"/>
      <c r="BS90" s="298"/>
      <c r="CF90" s="767">
        <v>0</v>
      </c>
    </row>
    <row s="1644" customFormat="1" customHeight="1" ht="11.25" hidden="1">
      <c r="A91" s="2401"/>
      <c r="B91" s="520"/>
      <c r="D91" s="674" t="s">
        <v>979</v>
      </c>
      <c r="E91" s="732" t="s">
        <v>1019</v>
      </c>
      <c r="F91" s="669" t="s">
        <v>961</v>
      </c>
      <c r="G91" s="733"/>
      <c r="H91" s="1032"/>
      <c r="I91" s="733"/>
      <c r="J91" s="1032"/>
      <c r="K91" s="733"/>
      <c r="L91" s="1032"/>
      <c r="M91" s="733"/>
      <c r="N91" s="1032"/>
      <c r="O91" s="733"/>
      <c r="P91" s="1032"/>
      <c r="Q91" s="733"/>
      <c r="R91" s="1032"/>
      <c r="S91" s="733"/>
      <c r="T91" s="1032"/>
      <c r="U91" s="733"/>
      <c r="V91" s="1032"/>
      <c r="W91" s="733"/>
      <c r="X91" s="1032"/>
      <c r="Y91" s="733"/>
      <c r="Z91" s="1032"/>
      <c r="AA91" s="733"/>
      <c r="AB91" s="1032"/>
      <c r="AC91" s="733"/>
      <c r="AD91" s="1032"/>
      <c r="AE91" s="733"/>
      <c r="AF91" s="1032"/>
      <c r="AG91" s="733"/>
      <c r="AH91" s="1032"/>
      <c r="AI91" s="733"/>
      <c r="AJ91" s="1032"/>
      <c r="AK91" s="733"/>
      <c r="AL91" s="1032"/>
      <c r="AM91" s="733"/>
      <c r="AN91" s="1032"/>
      <c r="AO91" s="733"/>
      <c r="AP91" s="1032"/>
      <c r="AQ91" s="733"/>
      <c r="AR91" s="1032"/>
      <c r="AS91" s="733"/>
      <c r="AT91" s="1032"/>
      <c r="AU91" s="733"/>
      <c r="AV91" s="1032"/>
      <c r="AW91" s="733"/>
      <c r="AX91" s="1032"/>
      <c r="AY91" s="733"/>
      <c r="AZ91" s="1032"/>
      <c r="BA91" s="733"/>
      <c r="BB91" s="1032"/>
      <c r="BC91" s="733"/>
      <c r="BD91" s="1032"/>
      <c r="BE91" s="733"/>
      <c r="BF91" s="1032"/>
      <c r="BG91" s="733"/>
      <c r="BH91" s="1032"/>
      <c r="BI91" s="733"/>
      <c r="BJ91" s="1032"/>
      <c r="BK91" s="733"/>
      <c r="BL91" s="1032"/>
      <c r="BM91" s="733"/>
      <c r="BN91" s="1032"/>
      <c r="BO91" s="733"/>
      <c r="BP91" s="1032"/>
      <c r="BQ91" s="733"/>
      <c r="BR91" s="1032"/>
      <c r="BS91" s="298"/>
      <c r="CF91" s="767">
        <v>0</v>
      </c>
    </row>
    <row s="1644" customFormat="1" customHeight="1" ht="11.25" hidden="1">
      <c r="A92" s="2401"/>
      <c r="B92" s="520"/>
      <c r="D92" s="674" t="s">
        <v>981</v>
      </c>
      <c r="E92" s="732" t="s">
        <v>1021</v>
      </c>
      <c r="F92" s="669" t="s">
        <v>961</v>
      </c>
      <c r="G92" s="733"/>
      <c r="H92" s="1032"/>
      <c r="I92" s="733"/>
      <c r="J92" s="1032"/>
      <c r="K92" s="733"/>
      <c r="L92" s="1032"/>
      <c r="M92" s="733"/>
      <c r="N92" s="1032"/>
      <c r="O92" s="733"/>
      <c r="P92" s="1032"/>
      <c r="Q92" s="733"/>
      <c r="R92" s="1032"/>
      <c r="S92" s="733"/>
      <c r="T92" s="1032"/>
      <c r="U92" s="733"/>
      <c r="V92" s="1032"/>
      <c r="W92" s="733"/>
      <c r="X92" s="1032"/>
      <c r="Y92" s="733"/>
      <c r="Z92" s="1032"/>
      <c r="AA92" s="733"/>
      <c r="AB92" s="1032"/>
      <c r="AC92" s="733"/>
      <c r="AD92" s="1032"/>
      <c r="AE92" s="733"/>
      <c r="AF92" s="1032"/>
      <c r="AG92" s="733"/>
      <c r="AH92" s="1032"/>
      <c r="AI92" s="733"/>
      <c r="AJ92" s="1032"/>
      <c r="AK92" s="733"/>
      <c r="AL92" s="1032"/>
      <c r="AM92" s="733"/>
      <c r="AN92" s="1032"/>
      <c r="AO92" s="733"/>
      <c r="AP92" s="1032"/>
      <c r="AQ92" s="733"/>
      <c r="AR92" s="1032"/>
      <c r="AS92" s="733"/>
      <c r="AT92" s="1032"/>
      <c r="AU92" s="733"/>
      <c r="AV92" s="1032"/>
      <c r="AW92" s="733"/>
      <c r="AX92" s="1032"/>
      <c r="AY92" s="733"/>
      <c r="AZ92" s="1032"/>
      <c r="BA92" s="733"/>
      <c r="BB92" s="1032"/>
      <c r="BC92" s="733"/>
      <c r="BD92" s="1032"/>
      <c r="BE92" s="733"/>
      <c r="BF92" s="1032"/>
      <c r="BG92" s="733"/>
      <c r="BH92" s="1032"/>
      <c r="BI92" s="733"/>
      <c r="BJ92" s="1032"/>
      <c r="BK92" s="733"/>
      <c r="BL92" s="1032"/>
      <c r="BM92" s="733"/>
      <c r="BN92" s="1032"/>
      <c r="BO92" s="733"/>
      <c r="BP92" s="1032"/>
      <c r="BQ92" s="733"/>
      <c r="BR92" s="1032"/>
      <c r="BS92" s="298"/>
      <c r="CF92" s="767">
        <v>0</v>
      </c>
    </row>
    <row s="1644" customFormat="1" customHeight="1" ht="11.25" hidden="1">
      <c r="A93" s="2401"/>
      <c r="B93" s="520"/>
      <c r="D93" s="674" t="s">
        <v>1028</v>
      </c>
      <c r="E93" s="732" t="s">
        <v>1023</v>
      </c>
      <c r="F93" s="669" t="s">
        <v>961</v>
      </c>
      <c r="G93" s="733"/>
      <c r="H93" s="1032"/>
      <c r="I93" s="733"/>
      <c r="J93" s="1032"/>
      <c r="K93" s="733"/>
      <c r="L93" s="1032"/>
      <c r="M93" s="733"/>
      <c r="N93" s="1032"/>
      <c r="O93" s="733"/>
      <c r="P93" s="1032"/>
      <c r="Q93" s="733"/>
      <c r="R93" s="1032"/>
      <c r="S93" s="733"/>
      <c r="T93" s="1032"/>
      <c r="U93" s="733"/>
      <c r="V93" s="1032"/>
      <c r="W93" s="733"/>
      <c r="X93" s="1032"/>
      <c r="Y93" s="733"/>
      <c r="Z93" s="1032"/>
      <c r="AA93" s="733"/>
      <c r="AB93" s="1032"/>
      <c r="AC93" s="733"/>
      <c r="AD93" s="1032"/>
      <c r="AE93" s="733"/>
      <c r="AF93" s="1032"/>
      <c r="AG93" s="733"/>
      <c r="AH93" s="1032"/>
      <c r="AI93" s="733"/>
      <c r="AJ93" s="1032"/>
      <c r="AK93" s="733"/>
      <c r="AL93" s="1032"/>
      <c r="AM93" s="733"/>
      <c r="AN93" s="1032"/>
      <c r="AO93" s="733"/>
      <c r="AP93" s="1032"/>
      <c r="AQ93" s="733"/>
      <c r="AR93" s="1032"/>
      <c r="AS93" s="733"/>
      <c r="AT93" s="1032"/>
      <c r="AU93" s="733"/>
      <c r="AV93" s="1032"/>
      <c r="AW93" s="733"/>
      <c r="AX93" s="1032"/>
      <c r="AY93" s="733"/>
      <c r="AZ93" s="1032"/>
      <c r="BA93" s="733"/>
      <c r="BB93" s="1032"/>
      <c r="BC93" s="733"/>
      <c r="BD93" s="1032"/>
      <c r="BE93" s="733"/>
      <c r="BF93" s="1032"/>
      <c r="BG93" s="733"/>
      <c r="BH93" s="1032"/>
      <c r="BI93" s="733"/>
      <c r="BJ93" s="1032"/>
      <c r="BK93" s="733"/>
      <c r="BL93" s="1032"/>
      <c r="BM93" s="733"/>
      <c r="BN93" s="1032"/>
      <c r="BO93" s="733"/>
      <c r="BP93" s="1032"/>
      <c r="BQ93" s="733"/>
      <c r="BR93" s="1032"/>
      <c r="BS93" s="298"/>
      <c r="CF93" s="767">
        <v>0</v>
      </c>
    </row>
    <row s="1644" customFormat="1" customHeight="1" ht="11.25" hidden="1">
      <c r="A94" s="2401"/>
      <c r="B94" s="520"/>
      <c r="D94" s="674" t="s">
        <v>1029</v>
      </c>
      <c r="E94" s="732" t="s">
        <v>1025</v>
      </c>
      <c r="F94" s="669" t="s">
        <v>961</v>
      </c>
      <c r="G94" s="733"/>
      <c r="H94" s="1032"/>
      <c r="I94" s="733"/>
      <c r="J94" s="1032"/>
      <c r="K94" s="733"/>
      <c r="L94" s="1032"/>
      <c r="M94" s="733"/>
      <c r="N94" s="1032"/>
      <c r="O94" s="733"/>
      <c r="P94" s="1032"/>
      <c r="Q94" s="733"/>
      <c r="R94" s="1032"/>
      <c r="S94" s="733"/>
      <c r="T94" s="1032"/>
      <c r="U94" s="733"/>
      <c r="V94" s="1032"/>
      <c r="W94" s="733"/>
      <c r="X94" s="1032"/>
      <c r="Y94" s="733"/>
      <c r="Z94" s="1032"/>
      <c r="AA94" s="733"/>
      <c r="AB94" s="1032"/>
      <c r="AC94" s="733"/>
      <c r="AD94" s="1032"/>
      <c r="AE94" s="733"/>
      <c r="AF94" s="1032"/>
      <c r="AG94" s="733"/>
      <c r="AH94" s="1032"/>
      <c r="AI94" s="733"/>
      <c r="AJ94" s="1032"/>
      <c r="AK94" s="733"/>
      <c r="AL94" s="1032"/>
      <c r="AM94" s="733"/>
      <c r="AN94" s="1032"/>
      <c r="AO94" s="733"/>
      <c r="AP94" s="1032"/>
      <c r="AQ94" s="733"/>
      <c r="AR94" s="1032"/>
      <c r="AS94" s="733"/>
      <c r="AT94" s="1032"/>
      <c r="AU94" s="733"/>
      <c r="AV94" s="1032"/>
      <c r="AW94" s="733"/>
      <c r="AX94" s="1032"/>
      <c r="AY94" s="733"/>
      <c r="AZ94" s="1032"/>
      <c r="BA94" s="733"/>
      <c r="BB94" s="1032"/>
      <c r="BC94" s="733"/>
      <c r="BD94" s="1032"/>
      <c r="BE94" s="733"/>
      <c r="BF94" s="1032"/>
      <c r="BG94" s="733"/>
      <c r="BH94" s="1032"/>
      <c r="BI94" s="733"/>
      <c r="BJ94" s="1032"/>
      <c r="BK94" s="733"/>
      <c r="BL94" s="1032"/>
      <c r="BM94" s="733"/>
      <c r="BN94" s="1032"/>
      <c r="BO94" s="733"/>
      <c r="BP94" s="1032"/>
      <c r="BQ94" s="733"/>
      <c r="BR94" s="1032"/>
      <c r="BS94" s="298"/>
      <c r="CF94" s="767">
        <v>0</v>
      </c>
    </row>
    <row s="1644" customFormat="1" customHeight="1" ht="24.75" hidden="1">
      <c r="A95" s="2401"/>
      <c r="B95" s="520"/>
      <c r="D95" s="674" t="s">
        <v>111</v>
      </c>
      <c r="E95" s="675" t="s">
        <v>1030</v>
      </c>
      <c r="F95" s="734" t="s">
        <v>631</v>
      </c>
      <c r="G95" s="736"/>
      <c r="H95" s="1032"/>
      <c r="I95" s="736"/>
      <c r="J95" s="1032"/>
      <c r="K95" s="736"/>
      <c r="L95" s="1032"/>
      <c r="M95" s="736"/>
      <c r="N95" s="1032"/>
      <c r="O95" s="736"/>
      <c r="P95" s="1032"/>
      <c r="Q95" s="736"/>
      <c r="R95" s="1032"/>
      <c r="S95" s="736"/>
      <c r="T95" s="1032"/>
      <c r="U95" s="736"/>
      <c r="V95" s="1032"/>
      <c r="W95" s="736"/>
      <c r="X95" s="1032"/>
      <c r="Y95" s="736"/>
      <c r="Z95" s="1032"/>
      <c r="AA95" s="736"/>
      <c r="AB95" s="1032"/>
      <c r="AC95" s="736"/>
      <c r="AD95" s="1032"/>
      <c r="AE95" s="736"/>
      <c r="AF95" s="1032"/>
      <c r="AG95" s="736"/>
      <c r="AH95" s="1032"/>
      <c r="AI95" s="736"/>
      <c r="AJ95" s="1032"/>
      <c r="AK95" s="736"/>
      <c r="AL95" s="1032"/>
      <c r="AM95" s="736"/>
      <c r="AN95" s="1032"/>
      <c r="AO95" s="736"/>
      <c r="AP95" s="1032"/>
      <c r="AQ95" s="736"/>
      <c r="AR95" s="1032"/>
      <c r="AS95" s="736"/>
      <c r="AT95" s="1032"/>
      <c r="AU95" s="736"/>
      <c r="AV95" s="1032"/>
      <c r="AW95" s="736"/>
      <c r="AX95" s="1032"/>
      <c r="AY95" s="736"/>
      <c r="AZ95" s="1032"/>
      <c r="BA95" s="736"/>
      <c r="BB95" s="1032"/>
      <c r="BC95" s="736"/>
      <c r="BD95" s="1032"/>
      <c r="BE95" s="736"/>
      <c r="BF95" s="1032"/>
      <c r="BG95" s="736"/>
      <c r="BH95" s="1032"/>
      <c r="BI95" s="736"/>
      <c r="BJ95" s="1032"/>
      <c r="BK95" s="736"/>
      <c r="BL95" s="1032"/>
      <c r="BM95" s="736"/>
      <c r="BN95" s="1032"/>
      <c r="BO95" s="736"/>
      <c r="BP95" s="1032"/>
      <c r="BQ95" s="736"/>
      <c r="BR95" s="1032"/>
      <c r="BS95" s="298" t="s">
        <v>1031</v>
      </c>
      <c r="CF95" s="767">
        <v>0</v>
      </c>
    </row>
    <row s="1644" customFormat="1" customHeight="1" ht="33.75" hidden="1">
      <c r="A96" s="2401"/>
      <c r="B96" s="520"/>
      <c r="D96" s="674" t="s">
        <v>92</v>
      </c>
      <c r="E96" s="675" t="s">
        <v>1032</v>
      </c>
      <c r="F96" s="735" t="s">
        <v>922</v>
      </c>
      <c r="G96" s="737"/>
      <c r="H96" s="1032"/>
      <c r="I96" s="737"/>
      <c r="J96" s="1032"/>
      <c r="K96" s="737"/>
      <c r="L96" s="1032"/>
      <c r="M96" s="737"/>
      <c r="N96" s="1032"/>
      <c r="O96" s="737"/>
      <c r="P96" s="1032"/>
      <c r="Q96" s="737"/>
      <c r="R96" s="1032"/>
      <c r="S96" s="737"/>
      <c r="T96" s="1032"/>
      <c r="U96" s="737"/>
      <c r="V96" s="1032"/>
      <c r="W96" s="737"/>
      <c r="X96" s="1032"/>
      <c r="Y96" s="737"/>
      <c r="Z96" s="1032"/>
      <c r="AA96" s="737"/>
      <c r="AB96" s="1032"/>
      <c r="AC96" s="737"/>
      <c r="AD96" s="1032"/>
      <c r="AE96" s="737"/>
      <c r="AF96" s="1032"/>
      <c r="AG96" s="737"/>
      <c r="AH96" s="1032"/>
      <c r="AI96" s="737"/>
      <c r="AJ96" s="1032"/>
      <c r="AK96" s="737"/>
      <c r="AL96" s="1032"/>
      <c r="AM96" s="737"/>
      <c r="AN96" s="1032"/>
      <c r="AO96" s="737"/>
      <c r="AP96" s="1032"/>
      <c r="AQ96" s="737"/>
      <c r="AR96" s="1032"/>
      <c r="AS96" s="737"/>
      <c r="AT96" s="1032"/>
      <c r="AU96" s="737"/>
      <c r="AV96" s="1032"/>
      <c r="AW96" s="737"/>
      <c r="AX96" s="1032"/>
      <c r="AY96" s="737"/>
      <c r="AZ96" s="1032"/>
      <c r="BA96" s="737"/>
      <c r="BB96" s="1032"/>
      <c r="BC96" s="737"/>
      <c r="BD96" s="1032"/>
      <c r="BE96" s="737"/>
      <c r="BF96" s="1032"/>
      <c r="BG96" s="737"/>
      <c r="BH96" s="1032"/>
      <c r="BI96" s="737"/>
      <c r="BJ96" s="1032"/>
      <c r="BK96" s="737"/>
      <c r="BL96" s="1032"/>
      <c r="BM96" s="737"/>
      <c r="BN96" s="1032"/>
      <c r="BO96" s="737"/>
      <c r="BP96" s="1032"/>
      <c r="BQ96" s="737"/>
      <c r="BR96" s="1032"/>
      <c r="BS96" s="298"/>
      <c r="CF96" s="767">
        <v>0</v>
      </c>
    </row>
    <row s="1644" customFormat="1" customHeight="1" ht="22.5" hidden="1">
      <c r="A97" s="2401"/>
      <c r="B97" s="520" t="s">
        <v>661</v>
      </c>
      <c r="D97" s="674" t="s">
        <v>93</v>
      </c>
      <c r="E97" s="675" t="s">
        <v>1033</v>
      </c>
      <c r="F97" s="735" t="s">
        <v>379</v>
      </c>
      <c r="G97" s="394"/>
      <c r="H97" s="1032"/>
      <c r="I97" s="394"/>
      <c r="J97" s="1032"/>
      <c r="K97" s="394"/>
      <c r="L97" s="1032"/>
      <c r="M97" s="394"/>
      <c r="N97" s="1032"/>
      <c r="O97" s="394"/>
      <c r="P97" s="1032"/>
      <c r="Q97" s="394"/>
      <c r="R97" s="1032"/>
      <c r="S97" s="394"/>
      <c r="T97" s="1032"/>
      <c r="U97" s="394"/>
      <c r="V97" s="1032"/>
      <c r="W97" s="394"/>
      <c r="X97" s="1032"/>
      <c r="Y97" s="394"/>
      <c r="Z97" s="1032"/>
      <c r="AA97" s="394"/>
      <c r="AB97" s="1032"/>
      <c r="AC97" s="394"/>
      <c r="AD97" s="1032"/>
      <c r="AE97" s="394"/>
      <c r="AF97" s="1032"/>
      <c r="AG97" s="394"/>
      <c r="AH97" s="1032"/>
      <c r="AI97" s="394"/>
      <c r="AJ97" s="1032"/>
      <c r="AK97" s="394"/>
      <c r="AL97" s="1032"/>
      <c r="AM97" s="394"/>
      <c r="AN97" s="1032"/>
      <c r="AO97" s="394"/>
      <c r="AP97" s="1032"/>
      <c r="AQ97" s="394"/>
      <c r="AR97" s="1032"/>
      <c r="AS97" s="394"/>
      <c r="AT97" s="1032"/>
      <c r="AU97" s="394"/>
      <c r="AV97" s="1032"/>
      <c r="AW97" s="394"/>
      <c r="AX97" s="1032"/>
      <c r="AY97" s="394"/>
      <c r="AZ97" s="1032"/>
      <c r="BA97" s="394"/>
      <c r="BB97" s="1032"/>
      <c r="BC97" s="394"/>
      <c r="BD97" s="1032"/>
      <c r="BE97" s="394"/>
      <c r="BF97" s="1032"/>
      <c r="BG97" s="394"/>
      <c r="BH97" s="1032"/>
      <c r="BI97" s="394"/>
      <c r="BJ97" s="1032"/>
      <c r="BK97" s="394"/>
      <c r="BL97" s="1032"/>
      <c r="BM97" s="394"/>
      <c r="BN97" s="1032"/>
      <c r="BO97" s="394"/>
      <c r="BP97" s="1032"/>
      <c r="BQ97" s="394"/>
      <c r="BR97" s="1032"/>
      <c r="BS97" s="298" t="s">
        <v>734</v>
      </c>
      <c r="CF97" s="767">
        <v>0</v>
      </c>
    </row>
    <row s="1644" customFormat="1" customHeight="1" ht="45" hidden="1">
      <c r="A98" s="2401"/>
      <c r="B98" s="520" t="s">
        <v>661</v>
      </c>
      <c r="D98" s="674" t="s">
        <v>1034</v>
      </c>
      <c r="E98" s="676" t="s">
        <v>1035</v>
      </c>
      <c r="F98" s="730" t="s">
        <v>379</v>
      </c>
      <c r="G98" s="394"/>
      <c r="H98" s="1032"/>
      <c r="I98" s="394"/>
      <c r="J98" s="1032"/>
      <c r="K98" s="394"/>
      <c r="L98" s="1032"/>
      <c r="M98" s="394"/>
      <c r="N98" s="1032"/>
      <c r="O98" s="394"/>
      <c r="P98" s="1032"/>
      <c r="Q98" s="394"/>
      <c r="R98" s="1032"/>
      <c r="S98" s="394"/>
      <c r="T98" s="1032"/>
      <c r="U98" s="394"/>
      <c r="V98" s="1032"/>
      <c r="W98" s="394"/>
      <c r="X98" s="1032"/>
      <c r="Y98" s="394"/>
      <c r="Z98" s="1032"/>
      <c r="AA98" s="394"/>
      <c r="AB98" s="1032"/>
      <c r="AC98" s="394"/>
      <c r="AD98" s="1032"/>
      <c r="AE98" s="394"/>
      <c r="AF98" s="1032"/>
      <c r="AG98" s="394"/>
      <c r="AH98" s="1032"/>
      <c r="AI98" s="394"/>
      <c r="AJ98" s="1032"/>
      <c r="AK98" s="394"/>
      <c r="AL98" s="1032"/>
      <c r="AM98" s="394"/>
      <c r="AN98" s="1032"/>
      <c r="AO98" s="394"/>
      <c r="AP98" s="1032"/>
      <c r="AQ98" s="394"/>
      <c r="AR98" s="1032"/>
      <c r="AS98" s="394"/>
      <c r="AT98" s="1032"/>
      <c r="AU98" s="394"/>
      <c r="AV98" s="1032"/>
      <c r="AW98" s="394"/>
      <c r="AX98" s="1032"/>
      <c r="AY98" s="394"/>
      <c r="AZ98" s="1032"/>
      <c r="BA98" s="394"/>
      <c r="BB98" s="1032"/>
      <c r="BC98" s="394"/>
      <c r="BD98" s="1032"/>
      <c r="BE98" s="394"/>
      <c r="BF98" s="1032"/>
      <c r="BG98" s="394"/>
      <c r="BH98" s="1032"/>
      <c r="BI98" s="394"/>
      <c r="BJ98" s="1032"/>
      <c r="BK98" s="394"/>
      <c r="BL98" s="1032"/>
      <c r="BM98" s="394"/>
      <c r="BN98" s="1032"/>
      <c r="BO98" s="394"/>
      <c r="BP98" s="1032"/>
      <c r="BQ98" s="394"/>
      <c r="BR98" s="1032"/>
      <c r="BS98" s="298" t="s">
        <v>734</v>
      </c>
      <c r="CF98" s="767">
        <v>0</v>
      </c>
    </row>
    <row s="1644" customFormat="1" customHeight="1" ht="95.25" hidden="1">
      <c r="A99" s="2401"/>
      <c r="B99" s="520" t="s">
        <v>661</v>
      </c>
      <c r="D99" s="674" t="s">
        <v>112</v>
      </c>
      <c r="E99" s="675" t="s">
        <v>1036</v>
      </c>
      <c r="F99" s="730" t="s">
        <v>379</v>
      </c>
      <c r="G99" s="394"/>
      <c r="H99" s="1032"/>
      <c r="I99" s="394"/>
      <c r="J99" s="1032"/>
      <c r="K99" s="394"/>
      <c r="L99" s="1032"/>
      <c r="M99" s="394"/>
      <c r="N99" s="1032"/>
      <c r="O99" s="394"/>
      <c r="P99" s="1032"/>
      <c r="Q99" s="394"/>
      <c r="R99" s="1032"/>
      <c r="S99" s="394"/>
      <c r="T99" s="1032"/>
      <c r="U99" s="394"/>
      <c r="V99" s="1032"/>
      <c r="W99" s="394"/>
      <c r="X99" s="1032"/>
      <c r="Y99" s="394"/>
      <c r="Z99" s="1032"/>
      <c r="AA99" s="394"/>
      <c r="AB99" s="1032"/>
      <c r="AC99" s="394"/>
      <c r="AD99" s="1032"/>
      <c r="AE99" s="394"/>
      <c r="AF99" s="1032"/>
      <c r="AG99" s="394"/>
      <c r="AH99" s="1032"/>
      <c r="AI99" s="394"/>
      <c r="AJ99" s="1032"/>
      <c r="AK99" s="394"/>
      <c r="AL99" s="1032"/>
      <c r="AM99" s="394"/>
      <c r="AN99" s="1032"/>
      <c r="AO99" s="394"/>
      <c r="AP99" s="1032"/>
      <c r="AQ99" s="394"/>
      <c r="AR99" s="1032"/>
      <c r="AS99" s="394"/>
      <c r="AT99" s="1032"/>
      <c r="AU99" s="394"/>
      <c r="AV99" s="1032"/>
      <c r="AW99" s="394"/>
      <c r="AX99" s="1032"/>
      <c r="AY99" s="394"/>
      <c r="AZ99" s="1032"/>
      <c r="BA99" s="394"/>
      <c r="BB99" s="1032"/>
      <c r="BC99" s="394"/>
      <c r="BD99" s="1032"/>
      <c r="BE99" s="394"/>
      <c r="BF99" s="1032"/>
      <c r="BG99" s="394"/>
      <c r="BH99" s="1032"/>
      <c r="BI99" s="394"/>
      <c r="BJ99" s="1032"/>
      <c r="BK99" s="394"/>
      <c r="BL99" s="1032"/>
      <c r="BM99" s="394"/>
      <c r="BN99" s="1032"/>
      <c r="BO99" s="394"/>
      <c r="BP99" s="1032"/>
      <c r="BQ99" s="394"/>
      <c r="BR99" s="1032"/>
      <c r="BS99" s="298" t="s">
        <v>734</v>
      </c>
      <c r="CF99" s="767">
        <v>0</v>
      </c>
    </row>
    <row s="1644" customFormat="1" customHeight="1" ht="22.5" hidden="1">
      <c r="A100" s="2401"/>
      <c r="B100" s="520" t="s">
        <v>661</v>
      </c>
      <c r="D100" s="674" t="s">
        <v>136</v>
      </c>
      <c r="E100" s="675" t="s">
        <v>1037</v>
      </c>
      <c r="F100" s="730" t="s">
        <v>379</v>
      </c>
      <c r="G100" s="394"/>
      <c r="H100" s="1032"/>
      <c r="I100" s="394"/>
      <c r="J100" s="1032"/>
      <c r="K100" s="394"/>
      <c r="L100" s="1032"/>
      <c r="M100" s="394"/>
      <c r="N100" s="1032"/>
      <c r="O100" s="394"/>
      <c r="P100" s="1032"/>
      <c r="Q100" s="394"/>
      <c r="R100" s="1032"/>
      <c r="S100" s="394"/>
      <c r="T100" s="1032"/>
      <c r="U100" s="394"/>
      <c r="V100" s="1032"/>
      <c r="W100" s="394"/>
      <c r="X100" s="1032"/>
      <c r="Y100" s="394"/>
      <c r="Z100" s="1032"/>
      <c r="AA100" s="394"/>
      <c r="AB100" s="1032"/>
      <c r="AC100" s="394"/>
      <c r="AD100" s="1032"/>
      <c r="AE100" s="394"/>
      <c r="AF100" s="1032"/>
      <c r="AG100" s="394"/>
      <c r="AH100" s="1032"/>
      <c r="AI100" s="394"/>
      <c r="AJ100" s="1032"/>
      <c r="AK100" s="394"/>
      <c r="AL100" s="1032"/>
      <c r="AM100" s="394"/>
      <c r="AN100" s="1032"/>
      <c r="AO100" s="394"/>
      <c r="AP100" s="1032"/>
      <c r="AQ100" s="394"/>
      <c r="AR100" s="1032"/>
      <c r="AS100" s="394"/>
      <c r="AT100" s="1032"/>
      <c r="AU100" s="394"/>
      <c r="AV100" s="1032"/>
      <c r="AW100" s="394"/>
      <c r="AX100" s="1032"/>
      <c r="AY100" s="394"/>
      <c r="AZ100" s="1032"/>
      <c r="BA100" s="394"/>
      <c r="BB100" s="1032"/>
      <c r="BC100" s="394"/>
      <c r="BD100" s="1032"/>
      <c r="BE100" s="394"/>
      <c r="BF100" s="1032"/>
      <c r="BG100" s="394"/>
      <c r="BH100" s="1032"/>
      <c r="BI100" s="394"/>
      <c r="BJ100" s="1032"/>
      <c r="BK100" s="394"/>
      <c r="BL100" s="1032"/>
      <c r="BM100" s="394"/>
      <c r="BN100" s="1032"/>
      <c r="BO100" s="394"/>
      <c r="BP100" s="1032"/>
      <c r="BQ100" s="394"/>
      <c r="BR100" s="1032"/>
      <c r="BS100" s="298" t="s">
        <v>734</v>
      </c>
      <c r="CF100" s="767">
        <v>0</v>
      </c>
    </row>
    <row s="1644" customFormat="1" customHeight="1" ht="11.549999999999999">
      <c r="A101" s="1042"/>
      <c r="B101" s="527"/>
      <c r="D101" s="1043"/>
      <c r="E101" s="1044"/>
      <c r="K101" s="1644"/>
      <c r="L101" s="1644"/>
      <c r="M101" s="1644"/>
      <c r="N101" s="1644"/>
      <c r="O101" s="1644"/>
      <c r="P101" s="1644"/>
      <c r="Q101" s="1644"/>
      <c r="R101" s="1644"/>
      <c r="S101" s="1644"/>
      <c r="T101" s="1644"/>
      <c r="U101" s="1644"/>
      <c r="V101" s="1644"/>
      <c r="W101" s="1644"/>
      <c r="X101" s="1644"/>
      <c r="Y101" s="1644"/>
      <c r="Z101" s="1644"/>
      <c r="AA101" s="1644"/>
      <c r="AB101" s="1644"/>
      <c r="AC101" s="1644"/>
      <c r="AD101" s="1644"/>
      <c r="AE101" s="1644"/>
      <c r="AF101" s="1644"/>
      <c r="AG101" s="1644"/>
      <c r="AH101" s="1644"/>
      <c r="AI101" s="1644"/>
      <c r="AJ101" s="1644"/>
      <c r="AK101" s="1644"/>
      <c r="AL101" s="1644"/>
      <c r="AM101" s="1644"/>
      <c r="AN101" s="1644"/>
      <c r="AO101" s="1644"/>
      <c r="AP101" s="1644"/>
      <c r="AQ101" s="1644"/>
      <c r="AR101" s="1644"/>
      <c r="AS101" s="1644"/>
      <c r="AT101" s="1644"/>
      <c r="AU101" s="1644"/>
      <c r="AV101" s="1644"/>
      <c r="AW101" s="1644"/>
      <c r="AX101" s="1644"/>
      <c r="AY101" s="1644"/>
      <c r="AZ101" s="1644"/>
      <c r="BA101" s="1644"/>
      <c r="BB101" s="1644"/>
      <c r="BC101" s="1644"/>
      <c r="BD101" s="1644"/>
      <c r="BE101" s="1644"/>
      <c r="BF101" s="1644"/>
      <c r="BG101" s="1644"/>
      <c r="BH101" s="1644"/>
      <c r="BI101" s="1644"/>
      <c r="BJ101" s="1644"/>
      <c r="BK101" s="1644"/>
      <c r="BL101" s="1644"/>
      <c r="BM101" s="1644"/>
      <c r="BN101" s="1644"/>
      <c r="BO101" s="1644"/>
      <c r="BP101" s="1644"/>
      <c r="BQ101" s="1644"/>
      <c r="BR101" s="1644"/>
      <c r="CF101" s="518">
        <v>11</v>
      </c>
    </row>
    <row customHeight="1" ht="22.5" hidden="1">
      <c r="A102" s="545" t="s">
        <v>82</v>
      </c>
      <c r="B102" s="520">
        <v>0</v>
      </c>
      <c r="C102" s="514">
        <v>3</v>
      </c>
      <c r="D102" s="514">
        <v>7</v>
      </c>
      <c r="E102" s="514">
        <v>69</v>
      </c>
      <c r="F102" s="514">
        <v>10</v>
      </c>
      <c r="G102" s="514">
        <v>0</v>
      </c>
      <c r="H102" s="514">
        <v>0</v>
      </c>
      <c r="I102" s="767">
        <v>43</v>
      </c>
      <c r="J102" s="767">
        <v>43</v>
      </c>
      <c r="K102" s="1644">
        <v>0</v>
      </c>
      <c r="L102" s="1644">
        <v>0</v>
      </c>
      <c r="M102" s="1644">
        <v>0</v>
      </c>
      <c r="N102" s="1644">
        <v>0</v>
      </c>
      <c r="O102" s="1644">
        <v>0</v>
      </c>
      <c r="P102" s="1644">
        <v>0</v>
      </c>
      <c r="Q102" s="1644">
        <v>0</v>
      </c>
      <c r="R102" s="1644">
        <v>0</v>
      </c>
      <c r="S102" s="1644">
        <v>0</v>
      </c>
      <c r="T102" s="1644">
        <v>0</v>
      </c>
      <c r="U102" s="1644">
        <v>0</v>
      </c>
      <c r="V102" s="1644">
        <v>0</v>
      </c>
      <c r="W102" s="1644">
        <v>0</v>
      </c>
      <c r="X102" s="1644">
        <v>0</v>
      </c>
      <c r="Y102" s="1644">
        <v>0</v>
      </c>
      <c r="Z102" s="1644">
        <v>0</v>
      </c>
      <c r="AA102" s="1644">
        <v>0</v>
      </c>
      <c r="AB102" s="1644">
        <v>0</v>
      </c>
      <c r="AC102" s="1644">
        <v>0</v>
      </c>
      <c r="AD102" s="1644">
        <v>0</v>
      </c>
      <c r="AE102" s="1644">
        <v>0</v>
      </c>
      <c r="AF102" s="1644">
        <v>0</v>
      </c>
      <c r="AG102" s="1644">
        <v>0</v>
      </c>
      <c r="AH102" s="1644">
        <v>0</v>
      </c>
      <c r="AI102" s="1644">
        <v>0</v>
      </c>
      <c r="AJ102" s="1644">
        <v>0</v>
      </c>
      <c r="AK102" s="1644">
        <v>0</v>
      </c>
      <c r="AL102" s="1644">
        <v>0</v>
      </c>
      <c r="AM102" s="1644">
        <v>0</v>
      </c>
      <c r="AN102" s="1644">
        <v>0</v>
      </c>
      <c r="AO102" s="1644">
        <v>0</v>
      </c>
      <c r="AP102" s="1644">
        <v>0</v>
      </c>
      <c r="AQ102" s="1644">
        <v>0</v>
      </c>
      <c r="AR102" s="1644">
        <v>0</v>
      </c>
      <c r="AS102" s="1644">
        <v>0</v>
      </c>
      <c r="AT102" s="1644">
        <v>0</v>
      </c>
      <c r="AU102" s="1644">
        <v>0</v>
      </c>
      <c r="AV102" s="1644">
        <v>0</v>
      </c>
      <c r="AW102" s="1644">
        <v>0</v>
      </c>
      <c r="AX102" s="1644">
        <v>0</v>
      </c>
      <c r="AY102" s="1644">
        <v>0</v>
      </c>
      <c r="AZ102" s="1644">
        <v>0</v>
      </c>
      <c r="BA102" s="1644">
        <v>0</v>
      </c>
      <c r="BB102" s="1644">
        <v>0</v>
      </c>
      <c r="BC102" s="1644">
        <v>0</v>
      </c>
      <c r="BD102" s="1644">
        <v>0</v>
      </c>
      <c r="BE102" s="1644">
        <v>0</v>
      </c>
      <c r="BF102" s="1644">
        <v>0</v>
      </c>
      <c r="BG102" s="1644">
        <v>0</v>
      </c>
      <c r="BH102" s="1644">
        <v>0</v>
      </c>
      <c r="BI102" s="1644">
        <v>0</v>
      </c>
      <c r="BJ102" s="1644">
        <v>0</v>
      </c>
      <c r="BK102" s="1644">
        <v>0</v>
      </c>
      <c r="BL102" s="1644">
        <v>0</v>
      </c>
      <c r="BM102" s="1644">
        <v>0</v>
      </c>
      <c r="BN102" s="1644">
        <v>0</v>
      </c>
      <c r="BO102" s="1644">
        <v>0</v>
      </c>
      <c r="BP102" s="1644">
        <v>0</v>
      </c>
      <c r="BQ102" s="1644">
        <v>0</v>
      </c>
      <c r="BR102" s="1644">
        <v>0</v>
      </c>
      <c r="BS102" s="514">
        <v>73</v>
      </c>
      <c r="BT102" s="514">
        <v>3</v>
      </c>
      <c r="BU102" s="514">
        <v>10</v>
      </c>
      <c r="BV102" s="514">
        <v>10</v>
      </c>
      <c r="BW102" s="514">
        <v>10</v>
      </c>
      <c r="BX102" s="514">
        <v>10</v>
      </c>
      <c r="BY102" s="514">
        <v>10</v>
      </c>
      <c r="BZ102" s="514">
        <v>10</v>
      </c>
      <c r="CA102" s="514">
        <v>10</v>
      </c>
      <c r="CB102" s="514">
        <v>10</v>
      </c>
      <c r="CC102" s="514">
        <v>10</v>
      </c>
      <c r="CD102" s="514">
        <v>10</v>
      </c>
      <c r="CE102" s="514">
        <v>10</v>
      </c>
      <c r="CF102" s="514">
        <v>23</v>
      </c>
    </row>
  </sheetData>
  <sheetProtection formatColumns="0" formatRows="0" autoFilter="0" sort="0" insertRows="0" insertColumns="1" deleteRows="0" deleteColumns="0"/>
  <mergeCells count="108">
    <mergeCell ref="D3:F3"/>
    <mergeCell ref="BS7:B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 ref="AM7:AN7"/>
    <mergeCell ref="AM8:AN8"/>
    <mergeCell ref="AM9:AN9"/>
    <mergeCell ref="AO7:AP7"/>
    <mergeCell ref="AO8:AP8"/>
    <mergeCell ref="AO9:AP9"/>
    <mergeCell ref="AQ7:AR7"/>
    <mergeCell ref="AQ8:AR8"/>
    <mergeCell ref="AQ9:AR9"/>
    <mergeCell ref="AS7:AT7"/>
    <mergeCell ref="AS8:AT8"/>
    <mergeCell ref="AS9:AT9"/>
    <mergeCell ref="AU7:AV7"/>
    <mergeCell ref="AU8:AV8"/>
    <mergeCell ref="AU9:AV9"/>
    <mergeCell ref="AW7:AX7"/>
    <mergeCell ref="AW8:AX8"/>
    <mergeCell ref="AW9:AX9"/>
    <mergeCell ref="AY7:AZ7"/>
    <mergeCell ref="AY8:AZ8"/>
    <mergeCell ref="AY9:AZ9"/>
    <mergeCell ref="BA7:BB7"/>
    <mergeCell ref="BA8:BB8"/>
    <mergeCell ref="BA9:BB9"/>
    <mergeCell ref="BC7:BD7"/>
    <mergeCell ref="BC8:BD8"/>
    <mergeCell ref="BC9:BD9"/>
    <mergeCell ref="BE7:BF7"/>
    <mergeCell ref="BE8:BF8"/>
    <mergeCell ref="BE9:BF9"/>
    <mergeCell ref="BG7:BH7"/>
    <mergeCell ref="BG8:BH8"/>
    <mergeCell ref="BG9:BH9"/>
    <mergeCell ref="BI7:BJ7"/>
    <mergeCell ref="BI8:BJ8"/>
    <mergeCell ref="BI9:BJ9"/>
    <mergeCell ref="BK7:BL7"/>
    <mergeCell ref="BK8:BL8"/>
    <mergeCell ref="BK9:BL9"/>
    <mergeCell ref="BM7:BN7"/>
    <mergeCell ref="BM8:BN8"/>
    <mergeCell ref="BM9:BN9"/>
    <mergeCell ref="BO7:BP7"/>
    <mergeCell ref="BO8:BP8"/>
    <mergeCell ref="BO9:BP9"/>
    <mergeCell ref="BQ7:BR7"/>
    <mergeCell ref="BQ8:BR8"/>
    <mergeCell ref="BQ9:BR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AN26:AN27 AP26:AP27 AR26:AR27 AT26:AT27 AV26:AV27 AX26:AX27 AZ26:AZ27 BB26:BB27 BD26:BD27 BF26:BF27 BH26:BH27 BJ26:BJ27 BL26:BL27 BN26:BN27 BP26:BP27 BR26:BR27 J15:J18 L15:L18 N15:N18 P15:P18 R15:R18 T15:T18 V15:V18 X15:X18 Z15:Z18 AB15:AB18 AD15:AD18 AF15:AF18 AH15:AH18 AJ15:AJ18 AL15:AL18 AN15:AN18 AP15:AP18 AR15:AR18 AT15:AT18 AV15:AV18 AX15:AX18 AZ15:AZ18 BB15:BB18 BD15:BD18 BF15:BF18 BH15:BH18 BJ15:BJ18 BL15:BL18 BN15:BN18 BP15:BP18 BR15:BR18 J21:J22 L21:L22 N21:N22 P21:P22 R21:R22 T21:T22 V21:V22 X21:X22 Z21:Z22 AB21:AB22 AD21:AD22 AF21:AF22 AH21:AH22 AJ21:AJ22 AL21:AL22 AN21:AN22 AP21:AP22 AR21:AR22 AT21:AT22 AV21:AV22 AX21:AX22 AZ21:AZ22 BB21:BB22 BD21:BD22 BF21:BF22 BH21:BH22 BJ21:BJ22 BL21:BL22 BN21:BN22 BP21:BP22 BR21:BR22 J29:J30 L29:L30 N29:N30 P29:P30 R29:R30 T29:T30 V29:V30 X29:X30 Z29:Z30 AB29:AB30 AD29:AD30 AF29:AF30 AH29:AH30 AJ29:AJ30 AL29:AL30 AN29:AN30 AP29:AP30 AR29:AR30 AT29:AT30 AV29:AV30 AX29:AX30 AZ29:AZ30 BB29:BB30 BD29:BD30 BF29:BF30 BH29:BH30 BJ29:BJ30 BL29:BL30 BN29:BN30 BP29:BP30 BR29:BR30 J24 L24 N24 P24 R24 T24 V24 X24 Z24 AB24 AD24 AF24 AH24 AJ24 AL24 AN24 AP24 AR24 AT24 AV24 AX24 AZ24 BB24 BD24 BF24 BH24 BJ24 BL24 BN24 BP24 BR24">
      <formula1>900</formula1>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AM16 AM17 AO16 AO17 AQ16 AQ17 AS16 AS17 AU16 AU17 AW16 AW17 AY16 AY17 BA16 BA17 BC16 BC17 BE16 BE17 BG16 BG17 BI16 BI17 BK16 BK17 BM16 BM17 BO16 BO17 BQ16 BQ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AM13 AM14 AM18 AM21 AM22 AM24 AM26 AM27 AM29 AM30 AM32 AM37 AM39 AM40 AM44 AM45 AM46 AM47 AM48 AM49 AM50 AM51 AM52 AM53 AM54 AM55 AM56 AM57 AM58 AM59 AM61 AM65 AM67 AM68 AM71 AM73 AM77 AM78 AM79 AM80 AM81 AM82 AM83 AM84 AM85 AM86 AM87 AM88 AM89 AM90 AM91 AM92 AM93 AM94 AM96 AO13 AO14 AO18 AO21 AO22 AO24 AO26 AO27 AO29 AO30 AO32 AO37 AO39 AO40 AO44 AO45 AO46 AO47 AO48 AO49 AO50 AO51 AO52 AO53 AO54 AO55 AO56 AO57 AO58 AO59 AO61 AO65 AO67 AO68 AO71 AO73 AO77 AO78 AO79 AO80 AO81 AO82 AO83 AO84 AO85 AO86 AO87 AO88 AO89 AO90 AO91 AO92 AO93 AO94 AO96 AQ13 AQ14 AQ18 AQ21 AQ22 AQ24 AQ26 AQ27 AQ29 AQ30 AQ32 AQ37 AQ39 AQ40 AQ44 AQ45 AQ46 AQ47 AQ48 AQ49 AQ50 AQ51 AQ52 AQ53 AQ54 AQ55 AQ56 AQ57 AQ58 AQ59 AQ61 AQ65 AQ67 AQ68 AQ71 AQ73 AQ77 AQ78 AQ79 AQ80 AQ81 AQ82 AQ83 AQ84 AQ85 AQ86 AQ87 AQ88 AQ89 AQ90 AQ91 AQ92 AQ93 AQ94 AQ96 AS13 AS14 AS18 AS21 AS22 AS24 AS26 AS27 AS29 AS30 AS32 AS37 AS39 AS40 AS44 AS45 AS46 AS47 AS48 AS49 AS50 AS51 AS52 AS53 AS54 AS55 AS56 AS57 AS58 AS59 AS61 AS65 AS67 AS68 AS71 AS73 AS77 AS78 AS79 AS80 AS81 AS82 AS83 AS84 AS85 AS86 AS87 AS88 AS89 AS90 AS91 AS92 AS93 AS94 AS96 AU13 AU14 AU18 AU21 AU22 AU24 AU26 AU27 AU29 AU30 AU32 AU37 AU39 AU40 AU44 AU45 AU46 AU47 AU48 AU49 AU50 AU51 AU52 AU53 AU54 AU55 AU56 AU57 AU58 AU59 AU61 AU65 AU67 AU68 AU71 AU73 AU77 AU78 AU79 AU80 AU81 AU82 AU83 AU84 AU85 AU86 AU87 AU88 AU89 AU90 AU91 AU92 AU93 AU94 AU96 AW13 AW14 AW18 AW21 AW22 AW24 AW26 AW27 AW29 AW30 AW32 AW37 AW39 AW40 AW44 AW45 AW46 AW47 AW48 AW49 AW50 AW51 AW52 AW53 AW54 AW55 AW56 AW57 AW58 AW59 AW61 AW65 AW67 AW68 AW71 AW73 AW77 AW78 AW79 AW80 AW81 AW82 AW83 AW84 AW85 AW86 AW87 AW88 AW89 AW90 AW91 AW92 AW93 AW94 AW96 AY13 AY14 AY18 AY21 AY22 AY24 AY26 AY27 AY29 AY30 AY32 AY37 AY39 AY40 AY44 AY45 AY46 AY47 AY48 AY49 AY50 AY51 AY52 AY53 AY54 AY55 AY56 AY57 AY58 AY59 AY61 AY65 AY67 AY68 AY71 AY73 AY77 AY78 AY79 AY80 AY81 AY82 AY83 AY84 AY85 AY86 AY87 AY88 AY89 AY90 AY91 AY92 AY93 AY94 AY96 BA13 BA14 BA18 BA21 BA22 BA24 BA26 BA27 BA29 BA30 BA32 BA37 BA39 BA40 BA44 BA45 BA46 BA47 BA48 BA49 BA50 BA51 BA52 BA53 BA54 BA55 BA56 BA57 BA58 BA59 BA61 BA65 BA67 BA68 BA71 BA73 BA77 BA78 BA79 BA80 BA81 BA82 BA83 BA84 BA85 BA86 BA87 BA88 BA89 BA90 BA91 BA92 BA93 BA94 BA96 BC13 BC14 BC18 BC21 BC22 BC24 BC26 BC27 BC29 BC30 BC32 BC37 BC39 BC40 BC44 BC45 BC46 BC47 BC48 BC49 BC50 BC51 BC52 BC53 BC54 BC55 BC56 BC57 BC58 BC59 BC61 BC65 BC67 BC68 BC71 BC73 BC77 BC78 BC79 BC80 BC81 BC82 BC83 BC84 BC85 BC86 BC87 BC88 BC89 BC90 BC91 BC92 BC93 BC94 BC96 BE13 BE14 BE18 BE21 BE22 BE24 BE26 BE27 BE29 BE30 BE32 BE37 BE39 BE40 BE44 BE45 BE46 BE47 BE48 BE49 BE50 BE51 BE52 BE53 BE54 BE55 BE56 BE57 BE58 BE59 BE61 BE65 BE67 BE68 BE71 BE73 BE77 BE78 BE79 BE80 BE81 BE82 BE83 BE84 BE85 BE86 BE87 BE88 BE89 BE90 BE91 BE92 BE93 BE94 BE96 BG13 BG14 BG18 BG21 BG22 BG24 BG26 BG27 BG29 BG30 BG32 BG37 BG39 BG40 BG44 BG45 BG46 BG47 BG48 BG49 BG50 BG51 BG52 BG53 BG54 BG55 BG56 BG57 BG58 BG59 BG61 BG65 BG67 BG68 BG71 BG73 BG77 BG78 BG79 BG80 BG81 BG82 BG83 BG84 BG85 BG86 BG87 BG88 BG89 BG90 BG91 BG92 BG93 BG94 BG96 BI13 BI14 BI18 BI21 BI22 BI24 BI26 BI27 BI29 BI30 BI32 BI37 BI39 BI40 BI44 BI45 BI46 BI47 BI48 BI49 BI50 BI51 BI52 BI53 BI54 BI55 BI56 BI57 BI58 BI59 BI61 BI65 BI67 BI68 BI71 BI73 BI77 BI78 BI79 BI80 BI81 BI82 BI83 BI84 BI85 BI86 BI87 BI88 BI89 BI90 BI91 BI92 BI93 BI94 BI96 BK13 BK14 BK18 BK21 BK22 BK24 BK26 BK27 BK29 BK30 BK32 BK37 BK39 BK40 BK44 BK45 BK46 BK47 BK48 BK49 BK50 BK51 BK52 BK53 BK54 BK55 BK56 BK57 BK58 BK59 BK61 BK65 BK67 BK68 BK71 BK73 BK77 BK78 BK79 BK80 BK81 BK82 BK83 BK84 BK85 BK86 BK87 BK88 BK89 BK90 BK91 BK92 BK93 BK94 BK96 BM13 BM14 BM18 BM21 BM22 BM24 BM26 BM27 BM29 BM30 BM32 BM37 BM39 BM40 BM44 BM45 BM46 BM47 BM48 BM49 BM50 BM51 BM52 BM53 BM54 BM55 BM56 BM57 BM58 BM59 BM61 BM65 BM67 BM68 BM71 BM73 BM77 BM78 BM79 BM80 BM81 BM82 BM83 BM84 BM85 BM86 BM87 BM88 BM89 BM90 BM91 BM92 BM93 BM94 BM96 BO13 BO14 BO18 BO21 BO22 BO24 BO26 BO27 BO29 BO30 BO32 BO37 BO39 BO40 BO44 BO45 BO46 BO47 BO48 BO49 BO50 BO51 BO52 BO53 BO54 BO55 BO56 BO57 BO58 BO59 BO61 BO65 BO67 BO68 BO71 BO73 BO77 BO78 BO79 BO80 BO81 BO82 BO83 BO84 BO85 BO86 BO87 BO88 BO89 BO90 BO91 BO92 BO93 BO94 BO96 BQ13 BQ14 BQ18 BQ21 BQ22 BQ24 BQ26 BQ27 BQ29 BQ30 BQ32 BQ37 BQ39 BQ40 BQ44 BQ45 BQ46 BQ47 BQ48 BQ49 BQ50 BQ51 BQ52 BQ53 BQ54 BQ55 BQ56 BQ57 BQ58 BQ59 BQ61 BQ65 BQ67 BQ68 BQ71 BQ73 BQ77 BQ78 BQ79 BQ80 BQ81 BQ82 BQ83 BQ84 BQ85 BQ86 BQ87 BQ88 BQ89 BQ90 BQ91 BQ92 BQ93 BQ94 BQ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AN31:AN32 AP31:AP32 AR31:AR32 AT31:AT32 AV31:AV32 AX31:AX32 AZ31:AZ32 BB31:BB32 BD31:BD32 BF31:BF32 BH31:BH32 BJ31:BJ32 BL31:BL32 BN31:BN32 BP31:BP32 BR31:BR32 G62:G63 G74:G75 G97:G100 I62:I63 I74:I75 I97:I100 H13:H14 H19 J19 L19 N19 P19 R19 T19 V19 X19 Z19 AB19 AD19 AF19 AH19 AJ19 AL19 AN19 AP19 AR19 AT19 AV19 AX19 AZ19 BB19 BD19 BF19 BH19 BJ19 BL19 BN19 BP19 BR19 J13:J14 L13:L14 N13:N14 P13:P14 R13:R14 T13:T14 V13:V14 X13:X14 Z13:Z14 AB13:AB14 AD13:AD14 AF13:AF14 AH13:AH14 AJ13:AJ14 AL13:AL14 AN13:AN14 AP13:AP14 AR13:AR14 AT13:AT14 AV13:AV14 AX13:AX14 AZ13:AZ14 BB13:BB14 BD13:BD14 BF13:BF14 BH13:BH14 BJ13:BJ14 BL13:BL14 BN13:BN14 BP13:BP14 BR13:BR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AM62 AM63 AM74 AM75 AM97 AM98 AM99 AM100 AO62 AO63 AO74 AO75 AO97 AO98 AO99 AO100 AQ62 AQ63 AQ74 AQ75 AQ97 AQ98 AQ99 AQ100 AS62 AS63 AS74 AS75 AS97 AS98 AS99 AS100 AU62 AU63 AU74 AU75 AU97 AU98 AU99 AU100 AW62 AW63 AW74 AW75 AW97 AW98 AW99 AW100 AY62 AY63 AY74 AY75 AY97 AY98 AY99 AY100 BA62 BA63 BA74 BA75 BA97 BA98 BA99 BA100 BC62 BC63 BC74 BC75 BC97 BC98 BC99 BC100 BE62 BE63 BE74 BE75 BE97 BE98 BE99 BE100 BG62 BG63 BG74 BG75 BG97 BG98 BG99 BG100 BI62 BI63 BI74 BI75 BI97 BI98 BI99 BI100 BK62 BK63 BK74 BK75 BK97 BK98 BK99 BK100 BM62 BM63 BM74 BM75 BM97 BM98 BM99 BM100 BO62 BO63 BO74 BO75 BO97 BO98 BO99 BO100 BQ62 BQ63 BQ74 BQ75 BQ97 BQ98 BQ99 BQ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AM31 AM42 AM43 AM60 AM69 AM70 AM72 AM95 AO31 AO42 AO43 AO60 AO69 AO70 AO72 AO95 AQ31 AQ42 AQ43 AQ60 AQ69 AQ70 AQ72 AQ95 AS31 AS42 AS43 AS60 AS69 AS70 AS72 AS95 AU31 AU42 AU43 AU60 AU69 AU70 AU72 AU95 AW31 AW42 AW43 AW60 AW69 AW70 AW72 AW95 AY31 AY42 AY43 AY60 AY69 AY70 AY72 AY95 BA31 BA42 BA43 BA60 BA69 BA70 BA72 BA95 BC31 BC42 BC43 BC60 BC69 BC70 BC72 BC95 BE31 BE42 BE43 BE60 BE69 BE70 BE72 BE95 BG31 BG42 BG43 BG60 BG69 BG70 BG72 BG95 BI31 BI42 BI43 BI60 BI69 BI70 BI72 BI95 BK31 BK42 BK43 BK60 BK69 BK70 BK72 BK95 BM31 BM42 BM43 BM60 BM69 BM70 BM72 BM95 BO31 BO42 BO43 BO60 BO69 BO70 BO72 BO95 BQ31 BQ42 BQ43 BQ60 BQ69 BQ70 BQ72 BQ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AM19 AO19 AQ19 AS19 AU19 AW19 AY19 BA19 BC19 BE19 BG19 BI19 BK19 BM19 BO19 BQ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3D834F-9BCA-13A6-8CA7-0.2C5CFDDD}" mc:Ignorable="x14ac xr xr2 xr3">
  <sheetPr>
    <tabColor rgb="FFCCCCFF"/>
  </sheetPr>
  <dimension ref="A1:AM49"/>
  <sheetViews>
    <sheetView topLeftCell="A1" showGridLines="0" zoomScale="90" workbookViewId="0">
      <selection activeCell="M47" sqref="M47"/>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ООО "СамРЭК-Тепло Жигулевск"</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105</v>
      </c>
      <c r="E9" s="2136"/>
      <c r="F9" s="2137" t="s">
        <v>106</v>
      </c>
      <c r="G9" s="2138"/>
      <c r="H9" s="2138"/>
      <c r="I9" s="2138"/>
      <c r="J9" s="2141" t="s">
        <v>107</v>
      </c>
      <c r="K9" s="2141"/>
      <c r="L9" s="2141"/>
      <c r="M9" s="2141"/>
      <c r="AM9" s="592">
        <v>18</v>
      </c>
    </row>
    <row customHeight="1" ht="24">
      <c r="A10" s="2135"/>
      <c r="B10" s="601"/>
      <c r="C10" s="534"/>
      <c r="D10" s="532" t="s">
        <v>88</v>
      </c>
      <c r="E10" s="532" t="s">
        <v>89</v>
      </c>
      <c r="F10" s="532" t="s">
        <v>108</v>
      </c>
      <c r="G10" s="2142" t="s">
        <v>88</v>
      </c>
      <c r="H10" s="2143"/>
      <c r="I10" s="532" t="s">
        <v>89</v>
      </c>
      <c r="J10" s="532" t="s">
        <v>108</v>
      </c>
      <c r="K10" s="2142" t="s">
        <v>88</v>
      </c>
      <c r="L10" s="2143"/>
      <c r="M10" s="532" t="s">
        <v>89</v>
      </c>
      <c r="N10" s="1636"/>
      <c r="AM10" s="592">
        <v>23</v>
      </c>
    </row>
    <row s="1862" customFormat="1" customHeight="1" ht="11.25" hidden="1">
      <c r="A11" s="602"/>
      <c r="B11" s="602"/>
      <c r="C11" s="602"/>
      <c r="D11" s="603" t="s">
        <v>109</v>
      </c>
      <c r="E11" s="603" t="s">
        <v>110</v>
      </c>
      <c r="F11" s="603" t="s">
        <v>90</v>
      </c>
      <c r="G11" s="2124" t="s">
        <v>91</v>
      </c>
      <c r="H11" s="2125"/>
      <c r="I11" s="603" t="s">
        <v>111</v>
      </c>
      <c r="J11" s="603" t="s">
        <v>92</v>
      </c>
      <c r="K11" s="2126" t="s">
        <v>93</v>
      </c>
      <c r="L11" s="2127"/>
      <c r="M11" s="603" t="s">
        <v>112</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113</v>
      </c>
      <c r="P12" s="1422" t="s">
        <v>114</v>
      </c>
      <c r="Q12" s="1422" t="s">
        <v>115</v>
      </c>
      <c r="R12" s="1422" t="s">
        <v>116</v>
      </c>
      <c r="AM12" s="592">
        <v>1</v>
      </c>
    </row>
    <row s="1862" customFormat="1" customHeight="1" ht="15.75">
      <c r="A13" s="302"/>
      <c r="B13" s="302"/>
      <c r="C13" s="535"/>
      <c r="D13" s="2117" t="s">
        <v>109</v>
      </c>
      <c r="E13" s="2118" t="str">
        <f>INDEX(VD_NAME_LIST,MATCH("4190064",VD_ID_LIST,0))</f>
        <v>Производство тепловой энергии. Некомбинированная выработка</v>
      </c>
      <c r="F13" s="2121" t="s">
        <v>66</v>
      </c>
      <c r="G13" s="2122"/>
      <c r="H13" s="2123">
        <v>1</v>
      </c>
      <c r="I13" s="2114" t="str">
        <f>IF(U13="","",INDEX(TERRITORY_MR_LIST,MATCH(U13,TERRITORY_LIST_ID,0)))</f>
        <v>Территория 1</v>
      </c>
      <c r="J13" s="2116" t="s">
        <v>66</v>
      </c>
      <c r="K13" s="611"/>
      <c r="L13" s="536" t="s">
        <v>109</v>
      </c>
      <c r="M13" s="2638" t="s">
        <v>117</v>
      </c>
      <c r="N13" s="821"/>
      <c r="O13" s="1425" t="s">
        <v>118</v>
      </c>
      <c r="P13" s="1422" t="str">
        <f>$E$13</f>
        <v>Производство тепловой энергии. Некомбинированная выработка</v>
      </c>
      <c r="Q13" s="1422" t="str">
        <f>IF($F$13="нет","без дифференциации",$I$13)</f>
        <v>Территория 1</v>
      </c>
      <c r="R13" s="1422" t="str">
        <f>IF($J$13="нет","без дифференциации",M13)</f>
        <v>Котельная №1 по ул.Ново-Самарская, д.12</v>
      </c>
      <c r="S13" s="1425"/>
      <c r="T13" s="1425"/>
      <c r="U13" s="1275" t="s">
        <v>98</v>
      </c>
      <c r="V13" s="1275" t="s">
        <v>119</v>
      </c>
      <c r="W13" s="1275"/>
      <c r="X13" s="1275"/>
      <c r="Y13" s="613" t="s">
        <v>120</v>
      </c>
      <c r="Z13" s="613">
        <v>1705000</v>
      </c>
      <c r="AA13" s="613"/>
      <c r="AB13" s="613"/>
      <c r="AC13" s="613"/>
      <c r="AD13" s="613"/>
      <c r="AE13" s="613"/>
      <c r="AF13" s="613"/>
      <c r="AG13" s="613"/>
      <c r="AH13" s="613"/>
      <c r="AI13" s="613"/>
      <c r="AJ13" s="613"/>
      <c r="AK13" s="613"/>
      <c r="AL13" s="613"/>
      <c r="AM13" s="615">
        <v>15</v>
      </c>
    </row>
    <row customHeight="1" ht="15">
      <c r="A14" s="432"/>
      <c r="B14" s="432"/>
      <c r="C14" s="185"/>
      <c r="D14" s="1830"/>
      <c r="E14" s="1830"/>
      <c r="F14" s="1830"/>
      <c r="G14" s="1830"/>
      <c r="H14" s="1830"/>
      <c r="I14" s="1830"/>
      <c r="J14" s="1830"/>
      <c r="K14" s="1808" t="s">
        <v>121</v>
      </c>
      <c r="L14" s="1738" t="s">
        <v>110</v>
      </c>
      <c r="M14" s="820" t="s">
        <v>122</v>
      </c>
      <c r="N14" s="821"/>
      <c r="O14" s="613" t="s">
        <v>123</v>
      </c>
      <c r="P14" s="613" t="str">
        <f>$E$13</f>
        <v>Производство тепловой энергии. Некомбинированная выработка</v>
      </c>
      <c r="Q14" s="613" t="str">
        <f>IF($F$13="нет","без дифференциации",$I$13)</f>
        <v>Территория 1</v>
      </c>
      <c r="R14" s="613" t="str">
        <f>IF($J$14="нет","без дифференциации",$M$14)</f>
        <v>Котельная №2,  ул.Пирогова около д.4</v>
      </c>
      <c r="S14" s="613"/>
      <c r="T14" s="613"/>
      <c r="U14" s="614"/>
      <c r="V14" s="613"/>
      <c r="W14" s="613"/>
      <c r="X14" s="604"/>
      <c r="Y14" s="604" t="s">
        <v>120</v>
      </c>
      <c r="Z14" s="604">
        <v>1705000</v>
      </c>
      <c r="AA14" s="604"/>
      <c r="AB14" s="604"/>
      <c r="AC14" s="604"/>
      <c r="AD14" s="604"/>
      <c r="AE14" s="604"/>
      <c r="AF14" s="604"/>
      <c r="AG14" s="604"/>
      <c r="AH14" s="604"/>
      <c r="AI14" s="604"/>
      <c r="AJ14" s="604"/>
      <c r="AK14" s="604"/>
      <c r="AL14" s="604"/>
      <c r="AM14" s="1862"/>
    </row>
    <row customHeight="1" ht="15">
      <c r="A15" s="432"/>
      <c r="B15" s="432"/>
      <c r="C15" s="185"/>
      <c r="D15" s="1830"/>
      <c r="E15" s="1830"/>
      <c r="F15" s="1830"/>
      <c r="G15" s="1830"/>
      <c r="H15" s="1830"/>
      <c r="I15" s="1830"/>
      <c r="J15" s="1830"/>
      <c r="K15" s="1808" t="s">
        <v>121</v>
      </c>
      <c r="L15" s="1738" t="s">
        <v>90</v>
      </c>
      <c r="M15" s="820" t="s">
        <v>124</v>
      </c>
      <c r="N15" s="821"/>
      <c r="O15" s="613" t="s">
        <v>125</v>
      </c>
      <c r="P15" s="613" t="str">
        <f>$E$13</f>
        <v>Производство тепловой энергии. Некомбинированная выработка</v>
      </c>
      <c r="Q15" s="613" t="str">
        <f>IF($F$13="нет","без дифференциации",$I$13)</f>
        <v>Территория 1</v>
      </c>
      <c r="R15" s="613" t="str">
        <f>IF($J$15="нет","без дифференциации",$M$15)</f>
        <v>Котельная №3, ул.Комсомольская около д.1 по ул.Ленина</v>
      </c>
      <c r="S15" s="613"/>
      <c r="T15" s="613"/>
      <c r="U15" s="614"/>
      <c r="V15" s="613"/>
      <c r="W15" s="613"/>
      <c r="X15" s="604"/>
      <c r="Y15" s="604" t="s">
        <v>120</v>
      </c>
      <c r="Z15" s="604">
        <v>1705000</v>
      </c>
      <c r="AA15" s="604"/>
      <c r="AB15" s="604"/>
      <c r="AC15" s="604"/>
      <c r="AD15" s="604"/>
      <c r="AE15" s="604"/>
      <c r="AF15" s="604"/>
      <c r="AG15" s="604"/>
      <c r="AH15" s="604"/>
      <c r="AI15" s="604"/>
      <c r="AJ15" s="604"/>
      <c r="AK15" s="604"/>
      <c r="AL15" s="604"/>
      <c r="AM15" s="1862"/>
    </row>
    <row customHeight="1" ht="15">
      <c r="A16" s="432"/>
      <c r="B16" s="432"/>
      <c r="C16" s="185"/>
      <c r="D16" s="1830"/>
      <c r="E16" s="1830"/>
      <c r="F16" s="1830"/>
      <c r="G16" s="1830"/>
      <c r="H16" s="1830"/>
      <c r="I16" s="1830"/>
      <c r="J16" s="1830"/>
      <c r="K16" s="1808" t="s">
        <v>121</v>
      </c>
      <c r="L16" s="1738" t="s">
        <v>91</v>
      </c>
      <c r="M16" s="820" t="s">
        <v>126</v>
      </c>
      <c r="N16" s="821"/>
      <c r="O16" s="613" t="s">
        <v>127</v>
      </c>
      <c r="P16" s="613" t="str">
        <f>$E$13</f>
        <v>Производство тепловой энергии. Некомбинированная выработка</v>
      </c>
      <c r="Q16" s="613" t="str">
        <f>IF($F$13="нет","без дифференциации",$I$13)</f>
        <v>Территория 1</v>
      </c>
      <c r="R16" s="613" t="str">
        <f>IF($J$16="нет","без дифференциации",$M$16)</f>
        <v>Тепловой центр №1 ул.Вокзальная ок д.№8</v>
      </c>
      <c r="S16" s="613"/>
      <c r="T16" s="613"/>
      <c r="U16" s="614"/>
      <c r="V16" s="613"/>
      <c r="W16" s="613"/>
      <c r="X16" s="604"/>
      <c r="Y16" s="604" t="s">
        <v>120</v>
      </c>
      <c r="Z16" s="604">
        <v>1705000</v>
      </c>
      <c r="AA16" s="604"/>
      <c r="AB16" s="604"/>
      <c r="AC16" s="604"/>
      <c r="AD16" s="604"/>
      <c r="AE16" s="604"/>
      <c r="AF16" s="604"/>
      <c r="AG16" s="604"/>
      <c r="AH16" s="604"/>
      <c r="AI16" s="604"/>
      <c r="AJ16" s="604"/>
      <c r="AK16" s="604"/>
      <c r="AL16" s="604"/>
      <c r="AM16" s="1862"/>
    </row>
    <row customHeight="1" ht="15">
      <c r="A17" s="432"/>
      <c r="B17" s="432"/>
      <c r="C17" s="185"/>
      <c r="D17" s="1830"/>
      <c r="E17" s="1830"/>
      <c r="F17" s="1830"/>
      <c r="G17" s="1830"/>
      <c r="H17" s="1830"/>
      <c r="I17" s="1830"/>
      <c r="J17" s="1830"/>
      <c r="K17" s="1808" t="s">
        <v>121</v>
      </c>
      <c r="L17" s="1738" t="s">
        <v>111</v>
      </c>
      <c r="M17" s="820" t="s">
        <v>128</v>
      </c>
      <c r="N17" s="821"/>
      <c r="O17" s="613" t="s">
        <v>129</v>
      </c>
      <c r="P17" s="613" t="str">
        <f>$E$13</f>
        <v>Производство тепловой энергии. Некомбинированная выработка</v>
      </c>
      <c r="Q17" s="613" t="str">
        <f>IF($F$13="нет","без дифференциации",$I$13)</f>
        <v>Территория 1</v>
      </c>
      <c r="R17" s="613" t="str">
        <f>IF($J$17="нет","без дифференциации",$M$17)</f>
        <v>Котельная №5, Александр. Поле, около д.30 по ул.Советская </v>
      </c>
      <c r="S17" s="613"/>
      <c r="T17" s="613"/>
      <c r="U17" s="614"/>
      <c r="V17" s="613"/>
      <c r="W17" s="613"/>
      <c r="X17" s="604"/>
      <c r="Y17" s="604" t="s">
        <v>120</v>
      </c>
      <c r="Z17" s="604">
        <v>1705000</v>
      </c>
      <c r="AA17" s="604"/>
      <c r="AB17" s="604"/>
      <c r="AC17" s="604"/>
      <c r="AD17" s="604"/>
      <c r="AE17" s="604"/>
      <c r="AF17" s="604"/>
      <c r="AG17" s="604"/>
      <c r="AH17" s="604"/>
      <c r="AI17" s="604"/>
      <c r="AJ17" s="604"/>
      <c r="AK17" s="604"/>
      <c r="AL17" s="604"/>
      <c r="AM17" s="1862"/>
    </row>
    <row customHeight="1" ht="15">
      <c r="A18" s="432"/>
      <c r="B18" s="432"/>
      <c r="C18" s="185"/>
      <c r="D18" s="1830"/>
      <c r="E18" s="1830"/>
      <c r="F18" s="1830"/>
      <c r="G18" s="1830"/>
      <c r="H18" s="1830"/>
      <c r="I18" s="1830"/>
      <c r="J18" s="1830"/>
      <c r="K18" s="1808" t="s">
        <v>121</v>
      </c>
      <c r="L18" s="1738" t="s">
        <v>92</v>
      </c>
      <c r="M18" s="820" t="s">
        <v>130</v>
      </c>
      <c r="N18" s="821"/>
      <c r="O18" s="613" t="s">
        <v>131</v>
      </c>
      <c r="P18" s="613" t="str">
        <f>$E$13</f>
        <v>Производство тепловой энергии. Некомбинированная выработка</v>
      </c>
      <c r="Q18" s="613" t="str">
        <f>IF($F$13="нет","без дифференциации",$I$13)</f>
        <v>Территория 1</v>
      </c>
      <c r="R18" s="613" t="str">
        <f>IF($J$18="нет","без дифференциации",$M$18)</f>
        <v>Котельная №6, ул.Пушкина </v>
      </c>
      <c r="S18" s="613"/>
      <c r="T18" s="613"/>
      <c r="U18" s="614"/>
      <c r="V18" s="613"/>
      <c r="W18" s="613"/>
      <c r="X18" s="604"/>
      <c r="Y18" s="604" t="s">
        <v>120</v>
      </c>
      <c r="Z18" s="604">
        <v>1705000</v>
      </c>
      <c r="AA18" s="604"/>
      <c r="AB18" s="604"/>
      <c r="AC18" s="604"/>
      <c r="AD18" s="604"/>
      <c r="AE18" s="604"/>
      <c r="AF18" s="604"/>
      <c r="AG18" s="604"/>
      <c r="AH18" s="604"/>
      <c r="AI18" s="604"/>
      <c r="AJ18" s="604"/>
      <c r="AK18" s="604"/>
      <c r="AL18" s="604"/>
      <c r="AM18" s="1862"/>
    </row>
    <row customHeight="1" ht="15">
      <c r="A19" s="432"/>
      <c r="B19" s="432"/>
      <c r="C19" s="185"/>
      <c r="D19" s="1830"/>
      <c r="E19" s="1830"/>
      <c r="F19" s="1830"/>
      <c r="G19" s="1830"/>
      <c r="H19" s="1830"/>
      <c r="I19" s="1830"/>
      <c r="J19" s="1830"/>
      <c r="K19" s="1808" t="s">
        <v>121</v>
      </c>
      <c r="L19" s="1738" t="s">
        <v>93</v>
      </c>
      <c r="M19" s="820" t="s">
        <v>132</v>
      </c>
      <c r="N19" s="821"/>
      <c r="O19" s="613" t="s">
        <v>133</v>
      </c>
      <c r="P19" s="613" t="str">
        <f>$E$13</f>
        <v>Производство тепловой энергии. Некомбинированная выработка</v>
      </c>
      <c r="Q19" s="613" t="str">
        <f>IF($F$13="нет","без дифференциации",$I$13)</f>
        <v>Территория 1</v>
      </c>
      <c r="R19" s="613" t="str">
        <f>IF($J$19="нет","без дифференциации",$M$19)</f>
        <v>Тепловой центр №2 ул.Вокзальная ок д.№20</v>
      </c>
      <c r="S19" s="613"/>
      <c r="T19" s="613"/>
      <c r="U19" s="614"/>
      <c r="V19" s="613"/>
      <c r="W19" s="613"/>
      <c r="X19" s="604"/>
      <c r="Y19" s="604" t="s">
        <v>120</v>
      </c>
      <c r="Z19" s="604">
        <v>1705000</v>
      </c>
      <c r="AA19" s="604"/>
      <c r="AB19" s="604"/>
      <c r="AC19" s="604"/>
      <c r="AD19" s="604"/>
      <c r="AE19" s="604"/>
      <c r="AF19" s="604"/>
      <c r="AG19" s="604"/>
      <c r="AH19" s="604"/>
      <c r="AI19" s="604"/>
      <c r="AJ19" s="604"/>
      <c r="AK19" s="604"/>
      <c r="AL19" s="604"/>
      <c r="AM19" s="1862"/>
    </row>
    <row customHeight="1" ht="15">
      <c r="A20" s="432"/>
      <c r="B20" s="432"/>
      <c r="C20" s="185"/>
      <c r="D20" s="1830"/>
      <c r="E20" s="1830"/>
      <c r="F20" s="1830"/>
      <c r="G20" s="1830"/>
      <c r="H20" s="1830"/>
      <c r="I20" s="1830"/>
      <c r="J20" s="1830"/>
      <c r="K20" s="1808" t="s">
        <v>121</v>
      </c>
      <c r="L20" s="1738" t="s">
        <v>112</v>
      </c>
      <c r="M20" s="820" t="s">
        <v>134</v>
      </c>
      <c r="N20" s="821"/>
      <c r="O20" s="613" t="s">
        <v>135</v>
      </c>
      <c r="P20" s="613" t="str">
        <f>$E$13</f>
        <v>Производство тепловой энергии. Некомбинированная выработка</v>
      </c>
      <c r="Q20" s="613" t="str">
        <f>IF($F$13="нет","без дифференциации",$I$13)</f>
        <v>Территория 1</v>
      </c>
      <c r="R20" s="613" t="str">
        <f>IF($J$20="нет","без дифференциации",$M$20)</f>
        <v>Котельная №8, ул.Мира</v>
      </c>
      <c r="S20" s="613"/>
      <c r="T20" s="613"/>
      <c r="U20" s="614"/>
      <c r="V20" s="613"/>
      <c r="W20" s="613"/>
      <c r="X20" s="604"/>
      <c r="Y20" s="604" t="s">
        <v>120</v>
      </c>
      <c r="Z20" s="604">
        <v>1705000</v>
      </c>
      <c r="AA20" s="604"/>
      <c r="AB20" s="604"/>
      <c r="AC20" s="604"/>
      <c r="AD20" s="604"/>
      <c r="AE20" s="604"/>
      <c r="AF20" s="604"/>
      <c r="AG20" s="604"/>
      <c r="AH20" s="604"/>
      <c r="AI20" s="604"/>
      <c r="AJ20" s="604"/>
      <c r="AK20" s="604"/>
      <c r="AL20" s="604"/>
      <c r="AM20" s="1862"/>
    </row>
    <row customHeight="1" ht="15">
      <c r="A21" s="432"/>
      <c r="B21" s="432"/>
      <c r="C21" s="185"/>
      <c r="D21" s="1830"/>
      <c r="E21" s="1830"/>
      <c r="F21" s="1830"/>
      <c r="G21" s="1830"/>
      <c r="H21" s="1830"/>
      <c r="I21" s="1830"/>
      <c r="J21" s="1830"/>
      <c r="K21" s="1808" t="s">
        <v>121</v>
      </c>
      <c r="L21" s="1738" t="s">
        <v>136</v>
      </c>
      <c r="M21" s="820" t="s">
        <v>137</v>
      </c>
      <c r="N21" s="821"/>
      <c r="O21" s="613" t="s">
        <v>138</v>
      </c>
      <c r="P21" s="613" t="str">
        <f>$E$13</f>
        <v>Производство тепловой энергии. Некомбинированная выработка</v>
      </c>
      <c r="Q21" s="613" t="str">
        <f>IF($F$13="нет","без дифференциации",$I$13)</f>
        <v>Территория 1</v>
      </c>
      <c r="R21" s="613" t="str">
        <f>IF($J$21="нет","без дифференциации",$M$21)</f>
        <v>Котельная №9, ул.Гоголя</v>
      </c>
      <c r="S21" s="613"/>
      <c r="T21" s="613"/>
      <c r="U21" s="614"/>
      <c r="V21" s="613"/>
      <c r="W21" s="613"/>
      <c r="X21" s="604"/>
      <c r="Y21" s="604" t="s">
        <v>120</v>
      </c>
      <c r="Z21" s="604">
        <v>1705000</v>
      </c>
      <c r="AA21" s="604"/>
      <c r="AB21" s="604"/>
      <c r="AC21" s="604"/>
      <c r="AD21" s="604"/>
      <c r="AE21" s="604"/>
      <c r="AF21" s="604"/>
      <c r="AG21" s="604"/>
      <c r="AH21" s="604"/>
      <c r="AI21" s="604"/>
      <c r="AJ21" s="604"/>
      <c r="AK21" s="604"/>
      <c r="AL21" s="604"/>
      <c r="AM21" s="1862"/>
    </row>
    <row customHeight="1" ht="15">
      <c r="A22" s="432"/>
      <c r="B22" s="432"/>
      <c r="C22" s="185"/>
      <c r="D22" s="1830"/>
      <c r="E22" s="1830"/>
      <c r="F22" s="1830"/>
      <c r="G22" s="1830"/>
      <c r="H22" s="1830"/>
      <c r="I22" s="1830"/>
      <c r="J22" s="1830"/>
      <c r="K22" s="1808" t="s">
        <v>121</v>
      </c>
      <c r="L22" s="1738" t="s">
        <v>139</v>
      </c>
      <c r="M22" s="820" t="s">
        <v>140</v>
      </c>
      <c r="N22" s="821"/>
      <c r="O22" s="613" t="s">
        <v>141</v>
      </c>
      <c r="P22" s="613" t="str">
        <f>$E$13</f>
        <v>Производство тепловой энергии. Некомбинированная выработка</v>
      </c>
      <c r="Q22" s="613" t="str">
        <f>IF($F$13="нет","без дифференциации",$I$13)</f>
        <v>Территория 1</v>
      </c>
      <c r="R22" s="613" t="str">
        <f>IF($J$22="нет","без дифференциации",$M$22)</f>
        <v>Котельная №10, ул.Гоголя</v>
      </c>
      <c r="S22" s="613"/>
      <c r="T22" s="613"/>
      <c r="U22" s="614"/>
      <c r="V22" s="613"/>
      <c r="W22" s="613"/>
      <c r="X22" s="604"/>
      <c r="Y22" s="604" t="s">
        <v>120</v>
      </c>
      <c r="Z22" s="604">
        <v>1705000</v>
      </c>
      <c r="AA22" s="604"/>
      <c r="AB22" s="604"/>
      <c r="AC22" s="604"/>
      <c r="AD22" s="604"/>
      <c r="AE22" s="604"/>
      <c r="AF22" s="604"/>
      <c r="AG22" s="604"/>
      <c r="AH22" s="604"/>
      <c r="AI22" s="604"/>
      <c r="AJ22" s="604"/>
      <c r="AK22" s="604"/>
      <c r="AL22" s="604"/>
      <c r="AM22" s="1862"/>
    </row>
    <row customHeight="1" ht="15">
      <c r="A23" s="432"/>
      <c r="B23" s="432"/>
      <c r="C23" s="185"/>
      <c r="D23" s="1830"/>
      <c r="E23" s="1830"/>
      <c r="F23" s="1830"/>
      <c r="G23" s="1830"/>
      <c r="H23" s="1830"/>
      <c r="I23" s="1830"/>
      <c r="J23" s="1830"/>
      <c r="K23" s="1808" t="s">
        <v>121</v>
      </c>
      <c r="L23" s="1738" t="s">
        <v>142</v>
      </c>
      <c r="M23" s="820" t="s">
        <v>143</v>
      </c>
      <c r="N23" s="821"/>
      <c r="O23" s="613" t="s">
        <v>144</v>
      </c>
      <c r="P23" s="613" t="str">
        <f>$E$13</f>
        <v>Производство тепловой энергии. Некомбинированная выработка</v>
      </c>
      <c r="Q23" s="613" t="str">
        <f>IF($F$13="нет","без дифференциации",$I$13)</f>
        <v>Территория 1</v>
      </c>
      <c r="R23" s="613" t="str">
        <f>IF($J$23="нет","без дифференциации",$M$23)</f>
        <v>Котельная №12а, ул.Мира</v>
      </c>
      <c r="S23" s="613"/>
      <c r="T23" s="613"/>
      <c r="U23" s="614"/>
      <c r="V23" s="613"/>
      <c r="W23" s="613"/>
      <c r="X23" s="604"/>
      <c r="Y23" s="604" t="s">
        <v>120</v>
      </c>
      <c r="Z23" s="604">
        <v>1705000</v>
      </c>
      <c r="AA23" s="604"/>
      <c r="AB23" s="604"/>
      <c r="AC23" s="604"/>
      <c r="AD23" s="604"/>
      <c r="AE23" s="604"/>
      <c r="AF23" s="604"/>
      <c r="AG23" s="604"/>
      <c r="AH23" s="604"/>
      <c r="AI23" s="604"/>
      <c r="AJ23" s="604"/>
      <c r="AK23" s="604"/>
      <c r="AL23" s="604"/>
      <c r="AM23" s="1862"/>
    </row>
    <row customHeight="1" ht="15">
      <c r="A24" s="432"/>
      <c r="B24" s="432"/>
      <c r="C24" s="185"/>
      <c r="D24" s="1830"/>
      <c r="E24" s="1830"/>
      <c r="F24" s="1830"/>
      <c r="G24" s="1830"/>
      <c r="H24" s="1830"/>
      <c r="I24" s="1830"/>
      <c r="J24" s="1830"/>
      <c r="K24" s="1808" t="s">
        <v>121</v>
      </c>
      <c r="L24" s="1738" t="s">
        <v>145</v>
      </c>
      <c r="M24" s="820" t="s">
        <v>146</v>
      </c>
      <c r="N24" s="821"/>
      <c r="O24" s="613" t="s">
        <v>147</v>
      </c>
      <c r="P24" s="613" t="str">
        <f>$E$13</f>
        <v>Производство тепловой энергии. Некомбинированная выработка</v>
      </c>
      <c r="Q24" s="613" t="str">
        <f>IF($F$13="нет","без дифференциации",$I$13)</f>
        <v>Территория 1</v>
      </c>
      <c r="R24" s="613" t="str">
        <f>IF($J$24="нет","без дифференциации",$M$24)</f>
        <v>Котельная №13, ул.Морквашинская</v>
      </c>
      <c r="S24" s="613"/>
      <c r="T24" s="613"/>
      <c r="U24" s="614"/>
      <c r="V24" s="613"/>
      <c r="W24" s="613"/>
      <c r="X24" s="604"/>
      <c r="Y24" s="604" t="s">
        <v>120</v>
      </c>
      <c r="Z24" s="604">
        <v>1705000</v>
      </c>
      <c r="AA24" s="604"/>
      <c r="AB24" s="604"/>
      <c r="AC24" s="604"/>
      <c r="AD24" s="604"/>
      <c r="AE24" s="604"/>
      <c r="AF24" s="604"/>
      <c r="AG24" s="604"/>
      <c r="AH24" s="604"/>
      <c r="AI24" s="604"/>
      <c r="AJ24" s="604"/>
      <c r="AK24" s="604"/>
      <c r="AL24" s="604"/>
      <c r="AM24" s="1862"/>
    </row>
    <row customHeight="1" ht="15">
      <c r="A25" s="432"/>
      <c r="B25" s="432"/>
      <c r="C25" s="185"/>
      <c r="D25" s="1830"/>
      <c r="E25" s="1830"/>
      <c r="F25" s="1830"/>
      <c r="G25" s="1830"/>
      <c r="H25" s="1830"/>
      <c r="I25" s="1830"/>
      <c r="J25" s="1830"/>
      <c r="K25" s="1808" t="s">
        <v>121</v>
      </c>
      <c r="L25" s="1738" t="s">
        <v>148</v>
      </c>
      <c r="M25" s="820" t="s">
        <v>149</v>
      </c>
      <c r="N25" s="821"/>
      <c r="O25" s="613" t="s">
        <v>150</v>
      </c>
      <c r="P25" s="613" t="str">
        <f>$E$13</f>
        <v>Производство тепловой энергии. Некомбинированная выработка</v>
      </c>
      <c r="Q25" s="613" t="str">
        <f>IF($F$13="нет","без дифференциации",$I$13)</f>
        <v>Территория 1</v>
      </c>
      <c r="R25" s="613" t="str">
        <f>IF($J$25="нет","без дифференциации",$M$25)</f>
        <v>ЦТП-1 ул.Морквашинская ок.д№7</v>
      </c>
      <c r="S25" s="613"/>
      <c r="T25" s="613"/>
      <c r="U25" s="614"/>
      <c r="V25" s="613"/>
      <c r="W25" s="613"/>
      <c r="X25" s="604"/>
      <c r="Y25" s="604" t="s">
        <v>120</v>
      </c>
      <c r="Z25" s="604">
        <v>1705000</v>
      </c>
      <c r="AA25" s="604"/>
      <c r="AB25" s="604"/>
      <c r="AC25" s="604"/>
      <c r="AD25" s="604"/>
      <c r="AE25" s="604"/>
      <c r="AF25" s="604"/>
      <c r="AG25" s="604"/>
      <c r="AH25" s="604"/>
      <c r="AI25" s="604"/>
      <c r="AJ25" s="604"/>
      <c r="AK25" s="604"/>
      <c r="AL25" s="604"/>
      <c r="AM25" s="1862"/>
    </row>
    <row customHeight="1" ht="15">
      <c r="A26" s="432"/>
      <c r="B26" s="432"/>
      <c r="C26" s="185"/>
      <c r="D26" s="1830"/>
      <c r="E26" s="1830"/>
      <c r="F26" s="1830"/>
      <c r="G26" s="1830"/>
      <c r="H26" s="1830"/>
      <c r="I26" s="1830"/>
      <c r="J26" s="1830"/>
      <c r="K26" s="1808" t="s">
        <v>121</v>
      </c>
      <c r="L26" s="1738" t="s">
        <v>151</v>
      </c>
      <c r="M26" s="820" t="s">
        <v>152</v>
      </c>
      <c r="N26" s="821"/>
      <c r="O26" s="613" t="s">
        <v>153</v>
      </c>
      <c r="P26" s="613" t="str">
        <f>$E$13</f>
        <v>Производство тепловой энергии. Некомбинированная выработка</v>
      </c>
      <c r="Q26" s="613" t="str">
        <f>IF($F$13="нет","без дифференциации",$I$13)</f>
        <v>Территория 1</v>
      </c>
      <c r="R26" s="613" t="str">
        <f>IF($J$26="нет","без дифференциации",$M$26)</f>
        <v>ЦТП-2, В-1,ок.д.№10</v>
      </c>
      <c r="S26" s="613"/>
      <c r="T26" s="613"/>
      <c r="U26" s="614"/>
      <c r="V26" s="613"/>
      <c r="W26" s="613"/>
      <c r="X26" s="604"/>
      <c r="Y26" s="604" t="s">
        <v>120</v>
      </c>
      <c r="Z26" s="604">
        <v>1705000</v>
      </c>
      <c r="AA26" s="604"/>
      <c r="AB26" s="604"/>
      <c r="AC26" s="604"/>
      <c r="AD26" s="604"/>
      <c r="AE26" s="604"/>
      <c r="AF26" s="604"/>
      <c r="AG26" s="604"/>
      <c r="AH26" s="604"/>
      <c r="AI26" s="604"/>
      <c r="AJ26" s="604"/>
      <c r="AK26" s="604"/>
      <c r="AL26" s="604"/>
      <c r="AM26" s="1862"/>
    </row>
    <row customHeight="1" ht="15">
      <c r="A27" s="432"/>
      <c r="B27" s="432"/>
      <c r="C27" s="185"/>
      <c r="D27" s="1830"/>
      <c r="E27" s="1830"/>
      <c r="F27" s="1830"/>
      <c r="G27" s="1830"/>
      <c r="H27" s="1830"/>
      <c r="I27" s="1830"/>
      <c r="J27" s="1830"/>
      <c r="K27" s="1808" t="s">
        <v>121</v>
      </c>
      <c r="L27" s="1738" t="s">
        <v>154</v>
      </c>
      <c r="M27" s="820" t="s">
        <v>155</v>
      </c>
      <c r="N27" s="821"/>
      <c r="O27" s="613" t="s">
        <v>156</v>
      </c>
      <c r="P27" s="613" t="str">
        <f>$E$13</f>
        <v>Производство тепловой энергии. Некомбинированная выработка</v>
      </c>
      <c r="Q27" s="613" t="str">
        <f>IF($F$13="нет","без дифференциации",$I$13)</f>
        <v>Территория 1</v>
      </c>
      <c r="R27" s="613" t="str">
        <f>IF($J$27="нет","без дифференциации",$M$27)</f>
        <v>ЦТП-9, ул.Пролетарская д.23/ул.Транспортная д.10</v>
      </c>
      <c r="S27" s="613"/>
      <c r="T27" s="613"/>
      <c r="U27" s="614"/>
      <c r="V27" s="613"/>
      <c r="W27" s="613"/>
      <c r="X27" s="604"/>
      <c r="Y27" s="604" t="s">
        <v>120</v>
      </c>
      <c r="Z27" s="604">
        <v>1705000</v>
      </c>
      <c r="AA27" s="604"/>
      <c r="AB27" s="604"/>
      <c r="AC27" s="604"/>
      <c r="AD27" s="604"/>
      <c r="AE27" s="604"/>
      <c r="AF27" s="604"/>
      <c r="AG27" s="604"/>
      <c r="AH27" s="604"/>
      <c r="AI27" s="604"/>
      <c r="AJ27" s="604"/>
      <c r="AK27" s="604"/>
      <c r="AL27" s="604"/>
      <c r="AM27" s="1862"/>
    </row>
    <row customHeight="1" ht="15">
      <c r="A28" s="432"/>
      <c r="B28" s="432"/>
      <c r="C28" s="185"/>
      <c r="D28" s="1830"/>
      <c r="E28" s="1830"/>
      <c r="F28" s="1830"/>
      <c r="G28" s="1830"/>
      <c r="H28" s="1830"/>
      <c r="I28" s="1830"/>
      <c r="J28" s="1830"/>
      <c r="K28" s="1808" t="s">
        <v>121</v>
      </c>
      <c r="L28" s="1738" t="s">
        <v>157</v>
      </c>
      <c r="M28" s="820" t="s">
        <v>158</v>
      </c>
      <c r="N28" s="821"/>
      <c r="O28" s="613" t="s">
        <v>159</v>
      </c>
      <c r="P28" s="613" t="str">
        <f>$E$13</f>
        <v>Производство тепловой энергии. Некомбинированная выработка</v>
      </c>
      <c r="Q28" s="613" t="str">
        <f>IF($F$13="нет","без дифференциации",$I$13)</f>
        <v>Территория 1</v>
      </c>
      <c r="R28" s="613" t="str">
        <f>IF($J$28="нет","без дифференциации",$M$28)</f>
        <v>ПНС№1-  Пролет, 5</v>
      </c>
      <c r="S28" s="613"/>
      <c r="T28" s="613"/>
      <c r="U28" s="614"/>
      <c r="V28" s="613"/>
      <c r="W28" s="613"/>
      <c r="X28" s="604"/>
      <c r="Y28" s="604" t="s">
        <v>120</v>
      </c>
      <c r="Z28" s="604">
        <v>1705000</v>
      </c>
      <c r="AA28" s="604"/>
      <c r="AB28" s="604"/>
      <c r="AC28" s="604"/>
      <c r="AD28" s="604"/>
      <c r="AE28" s="604"/>
      <c r="AF28" s="604"/>
      <c r="AG28" s="604"/>
      <c r="AH28" s="604"/>
      <c r="AI28" s="604"/>
      <c r="AJ28" s="604"/>
      <c r="AK28" s="604"/>
      <c r="AL28" s="604"/>
      <c r="AM28" s="1862"/>
    </row>
    <row customHeight="1" ht="15">
      <c r="A29" s="432"/>
      <c r="B29" s="432"/>
      <c r="C29" s="185"/>
      <c r="D29" s="1830"/>
      <c r="E29" s="1830"/>
      <c r="F29" s="1830"/>
      <c r="G29" s="1830"/>
      <c r="H29" s="1830"/>
      <c r="I29" s="1830"/>
      <c r="J29" s="1830"/>
      <c r="K29" s="1808" t="s">
        <v>121</v>
      </c>
      <c r="L29" s="1738" t="s">
        <v>160</v>
      </c>
      <c r="M29" s="820" t="s">
        <v>161</v>
      </c>
      <c r="N29" s="821"/>
      <c r="O29" s="613" t="s">
        <v>162</v>
      </c>
      <c r="P29" s="613" t="str">
        <f>$E$13</f>
        <v>Производство тепловой энергии. Некомбинированная выработка</v>
      </c>
      <c r="Q29" s="613" t="str">
        <f>IF($F$13="нет","без дифференциации",$I$13)</f>
        <v>Территория 1</v>
      </c>
      <c r="R29" s="613" t="str">
        <f>IF($J$29="нет","без дифференциации",$M$29)</f>
        <v>ПНС№2, ул.Репина,3</v>
      </c>
      <c r="S29" s="613"/>
      <c r="T29" s="613"/>
      <c r="U29" s="614"/>
      <c r="V29" s="613"/>
      <c r="W29" s="613"/>
      <c r="X29" s="604"/>
      <c r="Y29" s="604" t="s">
        <v>120</v>
      </c>
      <c r="Z29" s="604">
        <v>1705000</v>
      </c>
      <c r="AA29" s="604"/>
      <c r="AB29" s="604"/>
      <c r="AC29" s="604"/>
      <c r="AD29" s="604"/>
      <c r="AE29" s="604"/>
      <c r="AF29" s="604"/>
      <c r="AG29" s="604"/>
      <c r="AH29" s="604"/>
      <c r="AI29" s="604"/>
      <c r="AJ29" s="604"/>
      <c r="AK29" s="604"/>
      <c r="AL29" s="604"/>
      <c r="AM29" s="1862"/>
    </row>
    <row customHeight="1" ht="15">
      <c r="A30" s="432"/>
      <c r="B30" s="432"/>
      <c r="C30" s="185"/>
      <c r="D30" s="1830"/>
      <c r="E30" s="1830"/>
      <c r="F30" s="1830"/>
      <c r="G30" s="1830"/>
      <c r="H30" s="1830"/>
      <c r="I30" s="1830"/>
      <c r="J30" s="1830"/>
      <c r="K30" s="1808" t="s">
        <v>121</v>
      </c>
      <c r="L30" s="1738" t="s">
        <v>163</v>
      </c>
      <c r="M30" s="820" t="s">
        <v>164</v>
      </c>
      <c r="N30" s="821"/>
      <c r="O30" s="613" t="s">
        <v>165</v>
      </c>
      <c r="P30" s="613" t="str">
        <f>$E$13</f>
        <v>Производство тепловой энергии. Некомбинированная выработка</v>
      </c>
      <c r="Q30" s="613" t="str">
        <f>IF($F$13="нет","без дифференциации",$I$13)</f>
        <v>Территория 1</v>
      </c>
      <c r="R30" s="613" t="str">
        <f>IF($J$30="нет","без дифференциации",$M$30)</f>
        <v>Котельная №14, ул.Радиозаводская</v>
      </c>
      <c r="S30" s="613"/>
      <c r="T30" s="613"/>
      <c r="U30" s="614"/>
      <c r="V30" s="613"/>
      <c r="W30" s="613"/>
      <c r="X30" s="604"/>
      <c r="Y30" s="604" t="s">
        <v>120</v>
      </c>
      <c r="Z30" s="604">
        <v>1705000</v>
      </c>
      <c r="AA30" s="604"/>
      <c r="AB30" s="604"/>
      <c r="AC30" s="604"/>
      <c r="AD30" s="604"/>
      <c r="AE30" s="604"/>
      <c r="AF30" s="604"/>
      <c r="AG30" s="604"/>
      <c r="AH30" s="604"/>
      <c r="AI30" s="604"/>
      <c r="AJ30" s="604"/>
      <c r="AK30" s="604"/>
      <c r="AL30" s="604"/>
      <c r="AM30" s="1862"/>
    </row>
    <row customHeight="1" ht="15">
      <c r="A31" s="432"/>
      <c r="B31" s="432"/>
      <c r="C31" s="185"/>
      <c r="D31" s="1830"/>
      <c r="E31" s="1830"/>
      <c r="F31" s="1830"/>
      <c r="G31" s="1830"/>
      <c r="H31" s="1830"/>
      <c r="I31" s="1830"/>
      <c r="J31" s="1830"/>
      <c r="K31" s="1808" t="s">
        <v>121</v>
      </c>
      <c r="L31" s="1738" t="s">
        <v>166</v>
      </c>
      <c r="M31" s="820" t="s">
        <v>167</v>
      </c>
      <c r="N31" s="821"/>
      <c r="O31" s="613" t="s">
        <v>168</v>
      </c>
      <c r="P31" s="613" t="str">
        <f>$E$13</f>
        <v>Производство тепловой энергии. Некомбинированная выработка</v>
      </c>
      <c r="Q31" s="613" t="str">
        <f>IF($F$13="нет","без дифференциации",$I$13)</f>
        <v>Территория 1</v>
      </c>
      <c r="R31" s="613" t="str">
        <f>IF($J$31="нет","без дифференциации",$M$31)</f>
        <v>ЦТП-3, ул.Радиозаводская,ок.д.№6</v>
      </c>
      <c r="S31" s="613"/>
      <c r="T31" s="613"/>
      <c r="U31" s="614"/>
      <c r="V31" s="613"/>
      <c r="W31" s="613"/>
      <c r="X31" s="604"/>
      <c r="Y31" s="604" t="s">
        <v>120</v>
      </c>
      <c r="Z31" s="604">
        <v>1705000</v>
      </c>
      <c r="AA31" s="604"/>
      <c r="AB31" s="604"/>
      <c r="AC31" s="604"/>
      <c r="AD31" s="604"/>
      <c r="AE31" s="604"/>
      <c r="AF31" s="604"/>
      <c r="AG31" s="604"/>
      <c r="AH31" s="604"/>
      <c r="AI31" s="604"/>
      <c r="AJ31" s="604"/>
      <c r="AK31" s="604"/>
      <c r="AL31" s="604"/>
      <c r="AM31" s="1862"/>
    </row>
    <row customHeight="1" ht="15">
      <c r="A32" s="432"/>
      <c r="B32" s="432"/>
      <c r="C32" s="185"/>
      <c r="D32" s="1830"/>
      <c r="E32" s="1830"/>
      <c r="F32" s="1830"/>
      <c r="G32" s="1830"/>
      <c r="H32" s="1830"/>
      <c r="I32" s="1830"/>
      <c r="J32" s="1830"/>
      <c r="K32" s="1808" t="s">
        <v>121</v>
      </c>
      <c r="L32" s="1738" t="s">
        <v>169</v>
      </c>
      <c r="M32" s="820" t="s">
        <v>170</v>
      </c>
      <c r="N32" s="821"/>
      <c r="O32" s="613" t="s">
        <v>171</v>
      </c>
      <c r="P32" s="613" t="str">
        <f>$E$13</f>
        <v>Производство тепловой энергии. Некомбинированная выработка</v>
      </c>
      <c r="Q32" s="613" t="str">
        <f>IF($F$13="нет","без дифференциации",$I$13)</f>
        <v>Территория 1</v>
      </c>
      <c r="R32" s="613" t="str">
        <f>IF($J$32="нет","без дифференциации",$M$32)</f>
        <v>Котельная №17а с.Зольное , ул.Первомайская.</v>
      </c>
      <c r="S32" s="613"/>
      <c r="T32" s="613"/>
      <c r="U32" s="614"/>
      <c r="V32" s="613"/>
      <c r="W32" s="613"/>
      <c r="X32" s="604"/>
      <c r="Y32" s="604" t="s">
        <v>120</v>
      </c>
      <c r="Z32" s="604">
        <v>1705000</v>
      </c>
      <c r="AA32" s="604"/>
      <c r="AB32" s="604"/>
      <c r="AC32" s="604"/>
      <c r="AD32" s="604"/>
      <c r="AE32" s="604"/>
      <c r="AF32" s="604"/>
      <c r="AG32" s="604"/>
      <c r="AH32" s="604"/>
      <c r="AI32" s="604"/>
      <c r="AJ32" s="604"/>
      <c r="AK32" s="604"/>
      <c r="AL32" s="604"/>
      <c r="AM32" s="1862"/>
    </row>
    <row customHeight="1" ht="15">
      <c r="A33" s="432"/>
      <c r="B33" s="432"/>
      <c r="C33" s="185"/>
      <c r="D33" s="1830"/>
      <c r="E33" s="1830"/>
      <c r="F33" s="1830"/>
      <c r="G33" s="1830"/>
      <c r="H33" s="1830"/>
      <c r="I33" s="1830"/>
      <c r="J33" s="1830"/>
      <c r="K33" s="1808" t="s">
        <v>121</v>
      </c>
      <c r="L33" s="1738" t="s">
        <v>172</v>
      </c>
      <c r="M33" s="820" t="s">
        <v>173</v>
      </c>
      <c r="N33" s="821"/>
      <c r="O33" s="613" t="s">
        <v>174</v>
      </c>
      <c r="P33" s="613" t="str">
        <f>$E$13</f>
        <v>Производство тепловой энергии. Некомбинированная выработка</v>
      </c>
      <c r="Q33" s="613" t="str">
        <f>IF($F$13="нет","без дифференциации",$I$13)</f>
        <v>Территория 1</v>
      </c>
      <c r="R33" s="613" t="str">
        <f>IF($J$33="нет","без дифференциации",$M$33)</f>
        <v>Котельная №18А, с.Солнечная Поляна, ул. 4-я Линия</v>
      </c>
      <c r="S33" s="613"/>
      <c r="T33" s="613"/>
      <c r="U33" s="614"/>
      <c r="V33" s="613"/>
      <c r="W33" s="613"/>
      <c r="X33" s="604"/>
      <c r="Y33" s="604" t="s">
        <v>120</v>
      </c>
      <c r="Z33" s="604">
        <v>1705000</v>
      </c>
      <c r="AA33" s="604"/>
      <c r="AB33" s="604"/>
      <c r="AC33" s="604"/>
      <c r="AD33" s="604"/>
      <c r="AE33" s="604"/>
      <c r="AF33" s="604"/>
      <c r="AG33" s="604"/>
      <c r="AH33" s="604"/>
      <c r="AI33" s="604"/>
      <c r="AJ33" s="604"/>
      <c r="AK33" s="604"/>
      <c r="AL33" s="604"/>
      <c r="AM33" s="1862"/>
    </row>
    <row customHeight="1" ht="15">
      <c r="A34" s="432"/>
      <c r="B34" s="432"/>
      <c r="C34" s="185"/>
      <c r="D34" s="1830"/>
      <c r="E34" s="1830"/>
      <c r="F34" s="1830"/>
      <c r="G34" s="1830"/>
      <c r="H34" s="1830"/>
      <c r="I34" s="1830"/>
      <c r="J34" s="1830"/>
      <c r="K34" s="1808" t="s">
        <v>121</v>
      </c>
      <c r="L34" s="1738" t="s">
        <v>175</v>
      </c>
      <c r="M34" s="820" t="s">
        <v>176</v>
      </c>
      <c r="N34" s="821"/>
      <c r="O34" s="613" t="s">
        <v>177</v>
      </c>
      <c r="P34" s="613" t="str">
        <f>$E$13</f>
        <v>Производство тепловой энергии. Некомбинированная выработка</v>
      </c>
      <c r="Q34" s="613" t="str">
        <f>IF($F$13="нет","без дифференциации",$I$13)</f>
        <v>Территория 1</v>
      </c>
      <c r="R34" s="613" t="str">
        <f>IF($J$34="нет","без дифференциации",$M$34)</f>
        <v>Котельная №20,пос.Яблоневый Овраг , ул Никитина</v>
      </c>
      <c r="S34" s="613"/>
      <c r="T34" s="613"/>
      <c r="U34" s="614"/>
      <c r="V34" s="613"/>
      <c r="W34" s="613"/>
      <c r="X34" s="604"/>
      <c r="Y34" s="604" t="s">
        <v>120</v>
      </c>
      <c r="Z34" s="604">
        <v>1705000</v>
      </c>
      <c r="AA34" s="604"/>
      <c r="AB34" s="604"/>
      <c r="AC34" s="604"/>
      <c r="AD34" s="604"/>
      <c r="AE34" s="604"/>
      <c r="AF34" s="604"/>
      <c r="AG34" s="604"/>
      <c r="AH34" s="604"/>
      <c r="AI34" s="604"/>
      <c r="AJ34" s="604"/>
      <c r="AK34" s="604"/>
      <c r="AL34" s="604"/>
      <c r="AM34" s="1862"/>
    </row>
    <row customHeight="1" ht="15">
      <c r="A35" s="432"/>
      <c r="B35" s="432"/>
      <c r="C35" s="185"/>
      <c r="D35" s="1830"/>
      <c r="E35" s="1830"/>
      <c r="F35" s="1830"/>
      <c r="G35" s="1830"/>
      <c r="H35" s="1830"/>
      <c r="I35" s="1830"/>
      <c r="J35" s="1830"/>
      <c r="K35" s="1808" t="s">
        <v>121</v>
      </c>
      <c r="L35" s="1738" t="s">
        <v>178</v>
      </c>
      <c r="M35" s="820" t="s">
        <v>179</v>
      </c>
      <c r="N35" s="821"/>
      <c r="O35" s="613" t="s">
        <v>180</v>
      </c>
      <c r="P35" s="613" t="str">
        <f>$E$13</f>
        <v>Производство тепловой энергии. Некомбинированная выработка</v>
      </c>
      <c r="Q35" s="613" t="str">
        <f>IF($F$13="нет","без дифференциации",$I$13)</f>
        <v>Территория 1</v>
      </c>
      <c r="R35" s="613" t="str">
        <f>IF($J$35="нет","без дифференциации",$M$35)</f>
        <v>Котельная №22, ул.Магистральная</v>
      </c>
      <c r="S35" s="613"/>
      <c r="T35" s="613"/>
      <c r="U35" s="614"/>
      <c r="V35" s="613"/>
      <c r="W35" s="613"/>
      <c r="X35" s="604"/>
      <c r="Y35" s="604" t="s">
        <v>120</v>
      </c>
      <c r="Z35" s="604">
        <v>1705000</v>
      </c>
      <c r="AA35" s="604"/>
      <c r="AB35" s="604"/>
      <c r="AC35" s="604"/>
      <c r="AD35" s="604"/>
      <c r="AE35" s="604"/>
      <c r="AF35" s="604"/>
      <c r="AG35" s="604"/>
      <c r="AH35" s="604"/>
      <c r="AI35" s="604"/>
      <c r="AJ35" s="604"/>
      <c r="AK35" s="604"/>
      <c r="AL35" s="604"/>
      <c r="AM35" s="1862"/>
    </row>
    <row customHeight="1" ht="15">
      <c r="A36" s="432"/>
      <c r="B36" s="432"/>
      <c r="C36" s="185"/>
      <c r="D36" s="1830"/>
      <c r="E36" s="1830"/>
      <c r="F36" s="1830"/>
      <c r="G36" s="1830"/>
      <c r="H36" s="1830"/>
      <c r="I36" s="1830"/>
      <c r="J36" s="1830"/>
      <c r="K36" s="1808" t="s">
        <v>121</v>
      </c>
      <c r="L36" s="1738" t="s">
        <v>181</v>
      </c>
      <c r="M36" s="820" t="s">
        <v>182</v>
      </c>
      <c r="N36" s="821"/>
      <c r="O36" s="613" t="s">
        <v>183</v>
      </c>
      <c r="P36" s="613" t="str">
        <f>$E$13</f>
        <v>Производство тепловой энергии. Некомбинированная выработка</v>
      </c>
      <c r="Q36" s="613" t="str">
        <f>IF($F$13="нет","без дифференциации",$I$13)</f>
        <v>Территория 1</v>
      </c>
      <c r="R36" s="613" t="str">
        <f>IF($J$36="нет","без дифференциации",$M$36)</f>
        <v>Котельная №25,  МКР Г-1, ул.Гидротехническая</v>
      </c>
      <c r="S36" s="613"/>
      <c r="T36" s="613"/>
      <c r="U36" s="614"/>
      <c r="V36" s="613"/>
      <c r="W36" s="613"/>
      <c r="X36" s="604"/>
      <c r="Y36" s="604" t="s">
        <v>120</v>
      </c>
      <c r="Z36" s="604">
        <v>1705000</v>
      </c>
      <c r="AA36" s="604"/>
      <c r="AB36" s="604"/>
      <c r="AC36" s="604"/>
      <c r="AD36" s="604"/>
      <c r="AE36" s="604"/>
      <c r="AF36" s="604"/>
      <c r="AG36" s="604"/>
      <c r="AH36" s="604"/>
      <c r="AI36" s="604"/>
      <c r="AJ36" s="604"/>
      <c r="AK36" s="604"/>
      <c r="AL36" s="604"/>
      <c r="AM36" s="1862"/>
    </row>
    <row customHeight="1" ht="15">
      <c r="A37" s="432"/>
      <c r="B37" s="432"/>
      <c r="C37" s="185"/>
      <c r="D37" s="1830"/>
      <c r="E37" s="1830"/>
      <c r="F37" s="1830"/>
      <c r="G37" s="1830"/>
      <c r="H37" s="1830"/>
      <c r="I37" s="1830"/>
      <c r="J37" s="1830"/>
      <c r="K37" s="1808" t="s">
        <v>121</v>
      </c>
      <c r="L37" s="1738" t="s">
        <v>184</v>
      </c>
      <c r="M37" s="820" t="s">
        <v>185</v>
      </c>
      <c r="N37" s="821"/>
      <c r="O37" s="613" t="s">
        <v>186</v>
      </c>
      <c r="P37" s="613" t="str">
        <f>$E$13</f>
        <v>Производство тепловой энергии. Некомбинированная выработка</v>
      </c>
      <c r="Q37" s="613" t="str">
        <f>IF($F$13="нет","без дифференциации",$I$13)</f>
        <v>Территория 1</v>
      </c>
      <c r="R37" s="613" t="str">
        <f>IF($J$37="нет","без дифференциации",$M$37)</f>
        <v>ЦТП-7, ул.Оборонная</v>
      </c>
      <c r="S37" s="613"/>
      <c r="T37" s="613"/>
      <c r="U37" s="614"/>
      <c r="V37" s="613"/>
      <c r="W37" s="613"/>
      <c r="X37" s="604"/>
      <c r="Y37" s="604" t="s">
        <v>120</v>
      </c>
      <c r="Z37" s="604">
        <v>1705000</v>
      </c>
      <c r="AA37" s="604"/>
      <c r="AB37" s="604"/>
      <c r="AC37" s="604"/>
      <c r="AD37" s="604"/>
      <c r="AE37" s="604"/>
      <c r="AF37" s="604"/>
      <c r="AG37" s="604"/>
      <c r="AH37" s="604"/>
      <c r="AI37" s="604"/>
      <c r="AJ37" s="604"/>
      <c r="AK37" s="604"/>
      <c r="AL37" s="604"/>
      <c r="AM37" s="1862"/>
    </row>
    <row customHeight="1" ht="15">
      <c r="A38" s="432"/>
      <c r="B38" s="432"/>
      <c r="C38" s="185"/>
      <c r="D38" s="1830"/>
      <c r="E38" s="1830"/>
      <c r="F38" s="1830"/>
      <c r="G38" s="1830"/>
      <c r="H38" s="1830"/>
      <c r="I38" s="1830"/>
      <c r="J38" s="1830"/>
      <c r="K38" s="1808" t="s">
        <v>121</v>
      </c>
      <c r="L38" s="1738" t="s">
        <v>187</v>
      </c>
      <c r="M38" s="820" t="s">
        <v>188</v>
      </c>
      <c r="N38" s="821"/>
      <c r="O38" s="613" t="s">
        <v>189</v>
      </c>
      <c r="P38" s="613" t="str">
        <f>$E$13</f>
        <v>Производство тепловой энергии. Некомбинированная выработка</v>
      </c>
      <c r="Q38" s="613" t="str">
        <f>IF($F$13="нет","без дифференциации",$I$13)</f>
        <v>Территория 1</v>
      </c>
      <c r="R38" s="613" t="str">
        <f>IF($J$38="нет","без дифференциации",$M$38)</f>
        <v>ЦТП-8, ул.Шевченко</v>
      </c>
      <c r="S38" s="613"/>
      <c r="T38" s="613"/>
      <c r="U38" s="614"/>
      <c r="V38" s="613"/>
      <c r="W38" s="613"/>
      <c r="X38" s="604"/>
      <c r="Y38" s="604" t="s">
        <v>120</v>
      </c>
      <c r="Z38" s="604">
        <v>1705000</v>
      </c>
      <c r="AA38" s="604"/>
      <c r="AB38" s="604"/>
      <c r="AC38" s="604"/>
      <c r="AD38" s="604"/>
      <c r="AE38" s="604"/>
      <c r="AF38" s="604"/>
      <c r="AG38" s="604"/>
      <c r="AH38" s="604"/>
      <c r="AI38" s="604"/>
      <c r="AJ38" s="604"/>
      <c r="AK38" s="604"/>
      <c r="AL38" s="604"/>
      <c r="AM38" s="1862"/>
    </row>
    <row customHeight="1" ht="15">
      <c r="A39" s="432"/>
      <c r="B39" s="432"/>
      <c r="C39" s="185"/>
      <c r="D39" s="1830"/>
      <c r="E39" s="1830"/>
      <c r="F39" s="1830"/>
      <c r="G39" s="1830"/>
      <c r="H39" s="1830"/>
      <c r="I39" s="1830"/>
      <c r="J39" s="1830"/>
      <c r="K39" s="1808" t="s">
        <v>121</v>
      </c>
      <c r="L39" s="1738" t="s">
        <v>190</v>
      </c>
      <c r="M39" s="820" t="s">
        <v>191</v>
      </c>
      <c r="N39" s="821"/>
      <c r="O39" s="613" t="s">
        <v>192</v>
      </c>
      <c r="P39" s="613" t="str">
        <f>$E$13</f>
        <v>Производство тепловой энергии. Некомбинированная выработка</v>
      </c>
      <c r="Q39" s="613" t="str">
        <f>IF($F$13="нет","без дифференциации",$I$13)</f>
        <v>Территория 1</v>
      </c>
      <c r="R39" s="613" t="str">
        <f>IF($J$39="нет","без дифференциации",$M$39)</f>
        <v>ПНС, ул.Парковая</v>
      </c>
      <c r="S39" s="613"/>
      <c r="T39" s="613"/>
      <c r="U39" s="614"/>
      <c r="V39" s="613"/>
      <c r="W39" s="613"/>
      <c r="X39" s="604"/>
      <c r="Y39" s="604" t="s">
        <v>120</v>
      </c>
      <c r="Z39" s="604">
        <v>1705000</v>
      </c>
      <c r="AA39" s="604"/>
      <c r="AB39" s="604"/>
      <c r="AC39" s="604"/>
      <c r="AD39" s="604"/>
      <c r="AE39" s="604"/>
      <c r="AF39" s="604"/>
      <c r="AG39" s="604"/>
      <c r="AH39" s="604"/>
      <c r="AI39" s="604"/>
      <c r="AJ39" s="604"/>
      <c r="AK39" s="604"/>
      <c r="AL39" s="604"/>
      <c r="AM39" s="1862"/>
    </row>
    <row customHeight="1" ht="15">
      <c r="A40" s="432"/>
      <c r="B40" s="432"/>
      <c r="C40" s="185"/>
      <c r="D40" s="1830"/>
      <c r="E40" s="1830"/>
      <c r="F40" s="1830"/>
      <c r="G40" s="1830"/>
      <c r="H40" s="1830"/>
      <c r="I40" s="1830"/>
      <c r="J40" s="1830"/>
      <c r="K40" s="1808" t="s">
        <v>121</v>
      </c>
      <c r="L40" s="1738" t="s">
        <v>193</v>
      </c>
      <c r="M40" s="820" t="s">
        <v>194</v>
      </c>
      <c r="N40" s="821"/>
      <c r="O40" s="613" t="s">
        <v>195</v>
      </c>
      <c r="P40" s="613" t="str">
        <f>$E$13</f>
        <v>Производство тепловой энергии. Некомбинированная выработка</v>
      </c>
      <c r="Q40" s="613" t="str">
        <f>IF($F$13="нет","без дифференциации",$I$13)</f>
        <v>Территория 1</v>
      </c>
      <c r="R40" s="613" t="str">
        <f>IF($J$40="нет","без дифференциации",$M$40)</f>
        <v>Котельная №27, п.Богатырь, ул.Управленческая</v>
      </c>
      <c r="S40" s="613"/>
      <c r="T40" s="613"/>
      <c r="U40" s="614"/>
      <c r="V40" s="613"/>
      <c r="W40" s="613"/>
      <c r="X40" s="604"/>
      <c r="Y40" s="604" t="s">
        <v>120</v>
      </c>
      <c r="Z40" s="604">
        <v>1705000</v>
      </c>
      <c r="AA40" s="604"/>
      <c r="AB40" s="604"/>
      <c r="AC40" s="604"/>
      <c r="AD40" s="604"/>
      <c r="AE40" s="604"/>
      <c r="AF40" s="604"/>
      <c r="AG40" s="604"/>
      <c r="AH40" s="604"/>
      <c r="AI40" s="604"/>
      <c r="AJ40" s="604"/>
      <c r="AK40" s="604"/>
      <c r="AL40" s="604"/>
      <c r="AM40" s="1862"/>
    </row>
    <row s="1862" customFormat="1" customHeight="1" ht="15.75">
      <c r="A41" s="302"/>
      <c r="B41" s="302"/>
      <c r="C41" s="185"/>
      <c r="D41" s="2117"/>
      <c r="E41" s="2119"/>
      <c r="F41" s="2116"/>
      <c r="G41" s="2122"/>
      <c r="H41" s="2123"/>
      <c r="I41" s="2115"/>
      <c r="J41" s="2116"/>
      <c r="K41" s="430"/>
      <c r="L41" s="186"/>
      <c r="M41" s="616" t="s">
        <v>196</v>
      </c>
      <c r="N41" s="821"/>
      <c r="O41" s="1425"/>
      <c r="P41" s="1422"/>
      <c r="Q41" s="1422"/>
      <c r="R41" s="1422"/>
      <c r="S41" s="1425"/>
      <c r="T41" s="1425"/>
      <c r="U41" s="1275"/>
      <c r="V41" s="1275"/>
      <c r="W41" s="1275"/>
      <c r="X41" s="1275"/>
      <c r="Y41" s="613"/>
      <c r="Z41" s="613"/>
      <c r="AA41" s="613"/>
      <c r="AB41" s="613"/>
      <c r="AC41" s="613"/>
      <c r="AD41" s="613"/>
      <c r="AE41" s="613"/>
      <c r="AF41" s="613"/>
      <c r="AG41" s="613"/>
      <c r="AH41" s="613"/>
      <c r="AI41" s="613"/>
      <c r="AJ41" s="613"/>
      <c r="AK41" s="613"/>
      <c r="AL41" s="613"/>
      <c r="AM41" s="615">
        <v>15</v>
      </c>
    </row>
    <row s="1862" customFormat="1" customHeight="1" ht="15.75">
      <c r="A42" s="302"/>
      <c r="B42" s="302"/>
      <c r="C42" s="185"/>
      <c r="D42" s="2117"/>
      <c r="E42" s="2120"/>
      <c r="F42" s="2116"/>
      <c r="G42" s="1069"/>
      <c r="H42" s="1070"/>
      <c r="I42" s="589" t="s">
        <v>197</v>
      </c>
      <c r="J42" s="186"/>
      <c r="K42" s="186"/>
      <c r="L42" s="186"/>
      <c r="M42" s="617"/>
      <c r="N42" s="821"/>
      <c r="O42" s="1425"/>
      <c r="P42" s="1422"/>
      <c r="Q42" s="1422"/>
      <c r="R42" s="1422"/>
      <c r="S42" s="1425"/>
      <c r="T42" s="1425"/>
      <c r="U42" s="1275"/>
      <c r="V42" s="1275"/>
      <c r="W42" s="1275"/>
      <c r="X42" s="1275"/>
      <c r="Y42" s="613"/>
      <c r="Z42" s="613"/>
      <c r="AA42" s="613"/>
      <c r="AB42" s="613"/>
      <c r="AC42" s="613"/>
      <c r="AD42" s="613"/>
      <c r="AE42" s="613"/>
      <c r="AF42" s="613"/>
      <c r="AG42" s="613"/>
      <c r="AH42" s="613"/>
      <c r="AI42" s="613"/>
      <c r="AJ42" s="613"/>
      <c r="AK42" s="613"/>
      <c r="AL42" s="613"/>
      <c r="AM42" s="615">
        <v>15</v>
      </c>
    </row>
    <row customHeight="1" ht="15">
      <c r="A43" s="432"/>
      <c r="B43" s="432"/>
      <c r="C43" s="1737" t="s">
        <v>121</v>
      </c>
      <c r="D43" s="2117" t="s">
        <v>110</v>
      </c>
      <c r="E43" s="2118" t="str">
        <f>INDEX(VD_NAME_LIST,MATCH("4190067",VD_ID_LIST,0))</f>
        <v>Производство. Теплоноситель</v>
      </c>
      <c r="F43" s="2116" t="s">
        <v>66</v>
      </c>
      <c r="G43" s="2566"/>
      <c r="H43" s="2136">
        <v>1</v>
      </c>
      <c r="I43" s="3130" t="str">
        <f>IF($U$43="","",INDEX(TERRITORY_MR_LIST,MATCH($U$43,TERRITORY_LIST_ID,0)))</f>
        <v>Территория 1</v>
      </c>
      <c r="J43" s="2116" t="s">
        <v>66</v>
      </c>
      <c r="K43" s="841"/>
      <c r="L43" s="1791" t="s">
        <v>109</v>
      </c>
      <c r="M43" s="3131" t="s">
        <v>146</v>
      </c>
      <c r="N43" s="613"/>
      <c r="O43" s="613" t="s">
        <v>198</v>
      </c>
      <c r="P43" s="613" t="str">
        <f>$E$43</f>
        <v>Производство. Теплоноситель</v>
      </c>
      <c r="Q43" s="613" t="str">
        <f>IF($F$43="нет","без дифференциации",$I$43)</f>
        <v>Территория 1</v>
      </c>
      <c r="R43" s="613" t="str">
        <f>IF($J$43="нет","без дифференциации",$M$43)</f>
        <v>Котельная №13, ул.Морквашинская</v>
      </c>
      <c r="S43" s="613"/>
      <c r="T43" s="613"/>
      <c r="U43" s="614" t="s">
        <v>98</v>
      </c>
      <c r="V43" s="613" t="s">
        <v>199</v>
      </c>
      <c r="W43" s="613"/>
      <c r="X43" s="604"/>
      <c r="Y43" s="604" t="s">
        <v>120</v>
      </c>
      <c r="Z43" s="604">
        <v>1705000</v>
      </c>
      <c r="AA43" s="604"/>
      <c r="AB43" s="604"/>
      <c r="AC43" s="604"/>
      <c r="AD43" s="604"/>
      <c r="AE43" s="604"/>
      <c r="AF43" s="604"/>
      <c r="AG43" s="604"/>
      <c r="AH43" s="604"/>
      <c r="AI43" s="604"/>
      <c r="AJ43" s="604"/>
      <c r="AK43" s="604"/>
      <c r="AL43" s="604"/>
      <c r="AM43" s="1862"/>
    </row>
    <row customHeight="1" ht="15">
      <c r="A44" s="432"/>
      <c r="B44" s="432"/>
      <c r="C44" s="185"/>
      <c r="D44" s="1830"/>
      <c r="E44" s="1830"/>
      <c r="F44" s="1830"/>
      <c r="G44" s="1830"/>
      <c r="H44" s="1830"/>
      <c r="I44" s="1830"/>
      <c r="J44" s="1830"/>
      <c r="K44" s="1808" t="s">
        <v>121</v>
      </c>
      <c r="L44" s="1738" t="s">
        <v>110</v>
      </c>
      <c r="M44" s="820" t="s">
        <v>164</v>
      </c>
      <c r="N44" s="821"/>
      <c r="O44" s="613" t="s">
        <v>200</v>
      </c>
      <c r="P44" s="613" t="str">
        <f>$E$43</f>
        <v>Производство. Теплоноситель</v>
      </c>
      <c r="Q44" s="613" t="str">
        <f>IF($F$43="нет","без дифференциации",$I$43)</f>
        <v>Территория 1</v>
      </c>
      <c r="R44" s="613" t="str">
        <f>IF($J$44="нет","без дифференциации",$M$44)</f>
        <v>Котельная №14, ул.Радиозаводская</v>
      </c>
      <c r="S44" s="613"/>
      <c r="T44" s="613"/>
      <c r="U44" s="614"/>
      <c r="V44" s="613"/>
      <c r="W44" s="613"/>
      <c r="X44" s="604"/>
      <c r="Y44" s="604" t="s">
        <v>120</v>
      </c>
      <c r="Z44" s="604">
        <v>1705000</v>
      </c>
      <c r="AA44" s="604"/>
      <c r="AB44" s="604"/>
      <c r="AC44" s="604"/>
      <c r="AD44" s="604"/>
      <c r="AE44" s="604"/>
      <c r="AF44" s="604"/>
      <c r="AG44" s="604"/>
      <c r="AH44" s="604"/>
      <c r="AI44" s="604"/>
      <c r="AJ44" s="604"/>
      <c r="AK44" s="604"/>
      <c r="AL44" s="604"/>
      <c r="AM44" s="1862"/>
    </row>
    <row customHeight="1" ht="15">
      <c r="A45" s="432"/>
      <c r="B45" s="432"/>
      <c r="C45" s="185"/>
      <c r="D45" s="1830"/>
      <c r="E45" s="1830"/>
      <c r="F45" s="1830"/>
      <c r="G45" s="1830"/>
      <c r="H45" s="1830"/>
      <c r="I45" s="1830"/>
      <c r="J45" s="1830"/>
      <c r="K45" s="1808" t="s">
        <v>121</v>
      </c>
      <c r="L45" s="1738" t="s">
        <v>90</v>
      </c>
      <c r="M45" s="820" t="s">
        <v>182</v>
      </c>
      <c r="N45" s="821"/>
      <c r="O45" s="613" t="s">
        <v>201</v>
      </c>
      <c r="P45" s="613" t="str">
        <f>$E$43</f>
        <v>Производство. Теплоноситель</v>
      </c>
      <c r="Q45" s="613" t="str">
        <f>IF($F$43="нет","без дифференциации",$I$43)</f>
        <v>Территория 1</v>
      </c>
      <c r="R45" s="613" t="str">
        <f>IF($J$45="нет","без дифференциации",$M$45)</f>
        <v>Котельная №25,  МКР Г-1, ул.Гидротехническая</v>
      </c>
      <c r="S45" s="613"/>
      <c r="T45" s="613"/>
      <c r="U45" s="614"/>
      <c r="V45" s="613"/>
      <c r="W45" s="613"/>
      <c r="X45" s="604"/>
      <c r="Y45" s="604" t="s">
        <v>120</v>
      </c>
      <c r="Z45" s="604">
        <v>1705000</v>
      </c>
      <c r="AA45" s="604"/>
      <c r="AB45" s="604"/>
      <c r="AC45" s="604"/>
      <c r="AD45" s="604"/>
      <c r="AE45" s="604"/>
      <c r="AF45" s="604"/>
      <c r="AG45" s="604"/>
      <c r="AH45" s="604"/>
      <c r="AI45" s="604"/>
      <c r="AJ45" s="604"/>
      <c r="AK45" s="604"/>
      <c r="AL45" s="604"/>
      <c r="AM45" s="1862"/>
    </row>
    <row customHeight="1" ht="15">
      <c r="A46" s="432"/>
      <c r="B46" s="432"/>
      <c r="C46" s="185"/>
      <c r="D46" s="2117"/>
      <c r="E46" s="2119"/>
      <c r="F46" s="2116"/>
      <c r="G46" s="2567"/>
      <c r="H46" s="2136"/>
      <c r="I46" s="3132" t="str">
        <f>IF($U$43="","",INDEX(TERRITORY_MR_LIST,MATCH($U$43,TERRITORY_LIST_ID,0)))</f>
        <v>Территория 1</v>
      </c>
      <c r="J46" s="2116"/>
      <c r="K46" s="430"/>
      <c r="L46" s="186"/>
      <c r="M46" s="616" t="s">
        <v>196</v>
      </c>
      <c r="N46" s="613"/>
      <c r="O46" s="613"/>
      <c r="P46" s="613"/>
      <c r="Q46" s="613"/>
      <c r="R46" s="613"/>
      <c r="S46" s="613"/>
      <c r="T46" s="613"/>
      <c r="U46" s="614"/>
      <c r="V46" s="613"/>
      <c r="W46" s="613"/>
      <c r="X46" s="604"/>
      <c r="Y46" s="604"/>
      <c r="Z46" s="604"/>
      <c r="AA46" s="604"/>
      <c r="AB46" s="604"/>
      <c r="AC46" s="604"/>
      <c r="AD46" s="604"/>
      <c r="AE46" s="604"/>
      <c r="AF46" s="604"/>
      <c r="AG46" s="604"/>
      <c r="AH46" s="604"/>
      <c r="AI46" s="604"/>
      <c r="AJ46" s="604"/>
      <c r="AK46" s="604"/>
      <c r="AL46" s="604"/>
      <c r="AM46" s="1862"/>
    </row>
    <row customHeight="1" ht="15">
      <c r="A47" s="432"/>
      <c r="B47" s="432"/>
      <c r="C47" s="185"/>
      <c r="D47" s="2117"/>
      <c r="E47" s="2120"/>
      <c r="F47" s="2116"/>
      <c r="G47" s="430"/>
      <c r="H47" s="186"/>
      <c r="I47" s="589" t="s">
        <v>197</v>
      </c>
      <c r="J47" s="186"/>
      <c r="K47" s="186"/>
      <c r="L47" s="186"/>
      <c r="M47" s="617"/>
      <c r="N47" s="613"/>
      <c r="O47" s="613"/>
      <c r="P47" s="613"/>
      <c r="Q47" s="613"/>
      <c r="R47" s="613"/>
      <c r="S47" s="613"/>
      <c r="T47" s="613"/>
      <c r="U47" s="614"/>
      <c r="V47" s="613"/>
      <c r="W47" s="613"/>
      <c r="X47" s="604"/>
      <c r="Y47" s="604"/>
      <c r="Z47" s="604"/>
      <c r="AA47" s="604"/>
      <c r="AB47" s="604"/>
      <c r="AC47" s="604"/>
      <c r="AD47" s="604"/>
      <c r="AE47" s="604"/>
      <c r="AF47" s="604"/>
      <c r="AG47" s="604"/>
      <c r="AH47" s="604"/>
      <c r="AI47" s="604"/>
      <c r="AJ47" s="604"/>
      <c r="AK47" s="604"/>
      <c r="AL47" s="604"/>
      <c r="AM47" s="1862"/>
    </row>
    <row customHeight="1" ht="15.75">
      <c r="A48" s="618"/>
      <c r="B48" s="144"/>
      <c r="C48" s="815"/>
      <c r="D48" s="430"/>
      <c r="E48" s="580" t="s">
        <v>202</v>
      </c>
      <c r="F48" s="186"/>
      <c r="G48" s="186"/>
      <c r="H48" s="186"/>
      <c r="I48" s="186"/>
      <c r="J48" s="186"/>
      <c r="K48" s="186" t="s">
        <v>22</v>
      </c>
      <c r="L48" s="186"/>
      <c r="M48" s="617"/>
      <c r="N48" s="1636"/>
      <c r="AM48" s="592">
        <v>15</v>
      </c>
    </row>
    <row customHeight="1" ht="11.25" hidden="1">
      <c r="A49" s="592" t="s">
        <v>82</v>
      </c>
      <c r="B49" s="592">
        <v>0</v>
      </c>
      <c r="C49" s="592">
        <v>3</v>
      </c>
      <c r="D49" s="592"/>
      <c r="E49" s="592">
        <v>44</v>
      </c>
      <c r="F49" s="592">
        <v>6</v>
      </c>
      <c r="G49" s="592">
        <v>4</v>
      </c>
      <c r="H49" s="592">
        <v>5</v>
      </c>
      <c r="I49" s="592">
        <v>52</v>
      </c>
      <c r="J49" s="592">
        <v>6</v>
      </c>
      <c r="K49" s="592">
        <v>3</v>
      </c>
      <c r="L49" s="592">
        <v>6</v>
      </c>
      <c r="M49" s="592">
        <v>56</v>
      </c>
      <c r="N49" s="593">
        <v>8</v>
      </c>
      <c r="O49" s="1422">
        <v>0</v>
      </c>
      <c r="P49" s="1422">
        <v>0</v>
      </c>
      <c r="Q49" s="1422">
        <v>0</v>
      </c>
      <c r="R49" s="1422">
        <v>0</v>
      </c>
      <c r="S49" s="1422">
        <v>0</v>
      </c>
      <c r="T49" s="1422">
        <v>0</v>
      </c>
      <c r="U49" s="1272">
        <v>0</v>
      </c>
      <c r="V49" s="1272">
        <v>0</v>
      </c>
      <c r="W49" s="1272">
        <v>0</v>
      </c>
      <c r="X49" s="1272">
        <v>0</v>
      </c>
      <c r="Y49" s="593">
        <v>0</v>
      </c>
      <c r="Z49" s="593">
        <v>0</v>
      </c>
      <c r="AA49" s="593">
        <v>0</v>
      </c>
      <c r="AB49" s="593">
        <v>0</v>
      </c>
      <c r="AC49" s="593">
        <v>0</v>
      </c>
      <c r="AD49" s="593">
        <v>0</v>
      </c>
      <c r="AE49" s="593">
        <v>0</v>
      </c>
      <c r="AF49" s="593">
        <v>0</v>
      </c>
      <c r="AG49" s="593">
        <v>0</v>
      </c>
      <c r="AH49" s="593">
        <v>0</v>
      </c>
      <c r="AI49" s="593">
        <v>0</v>
      </c>
      <c r="AJ49" s="593">
        <v>0</v>
      </c>
      <c r="AK49" s="593">
        <v>0</v>
      </c>
      <c r="AL49" s="593">
        <v>8</v>
      </c>
      <c r="AM49" s="592">
        <v>11</v>
      </c>
    </row>
  </sheetData>
  <sheetProtection formatColumns="0" formatRows="0" autoFilter="0" sort="0" insertRows="0" insertColumns="1" deleteRows="0" deleteColumns="0"/>
  <mergeCells count="27">
    <mergeCell ref="G11:H11"/>
    <mergeCell ref="K11:L11"/>
    <mergeCell ref="D4:I4"/>
    <mergeCell ref="D5:I5"/>
    <mergeCell ref="A6:F6"/>
    <mergeCell ref="A9:A10"/>
    <mergeCell ref="D9:E9"/>
    <mergeCell ref="F9:I9"/>
    <mergeCell ref="E7:M7"/>
    <mergeCell ref="J9:M9"/>
    <mergeCell ref="G10:H10"/>
    <mergeCell ref="K10:L10"/>
    <mergeCell ref="I13:I41"/>
    <mergeCell ref="J13:J41"/>
    <mergeCell ref="D13:D42"/>
    <mergeCell ref="E13:E42"/>
    <mergeCell ref="F13:F42"/>
    <mergeCell ref="G13:G41"/>
    <mergeCell ref="H13:H41"/>
    <mergeCell ref="D43:D47"/>
    <mergeCell ref="E43:E47"/>
    <mergeCell ref="F43:F47"/>
    <mergeCell ref="G43:G46"/>
    <mergeCell ref="H43:H46"/>
    <mergeCell ref="I43:I46"/>
    <mergeCell ref="J43:J46"/>
    <mergeCell ref="C43:C47"/>
  </mergeCells>
  <dataValidations count="60">
    <dataValidation type="textLength" operator="lessThanOrEqual" allowBlank="1" showInputMessage="1" showErrorMessage="1" errorTitle="Ошибка" error="Допускается ввод не более 900 символов!" sqref="M45">
      <formula1>900</formula1>
    </dataValidation>
    <dataValidation type="list" allowBlank="1" showInputMessage="1" showErrorMessage="1" sqref="I45">
      <formula1>DESCRIPTION_TERRITORY</formula1>
    </dataValidation>
    <dataValidation type="textLength" operator="lessThanOrEqual" allowBlank="1" showInputMessage="1" showErrorMessage="1" errorTitle="Ошибка" error="Допускается ввод не более 900 символов!" sqref="M44">
      <formula1>900</formula1>
    </dataValidation>
    <dataValidation type="list" allowBlank="1" showInputMessage="1" showErrorMessage="1" sqref="I44">
      <formula1>DESCRIPTION_TERRITORY</formula1>
    </dataValidation>
    <dataValidation type="textLength" operator="lessThan" allowBlank="1" showInputMessage="1" showErrorMessage="1" error="Допускается ввод не более 900 символов!" sqref="M43">
      <formula1>900</formula1>
    </dataValidation>
    <dataValidation type="textLength" operator="lessThanOrEqual" allowBlank="1" showInputMessage="1" showErrorMessage="1" errorTitle="Ошибка" error="Допускается ввод не более 900 символов!" sqref="M40">
      <formula1>900</formula1>
    </dataValidation>
    <dataValidation type="list" allowBlank="1" showInputMessage="1" showErrorMessage="1" sqref="I40">
      <formula1>DESCRIPTION_TERRITORY</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list" allowBlank="1" showInputMessage="1" showErrorMessage="1" sqref="I39">
      <formula1>DESCRIPTION_TERRITORY</formula1>
    </dataValidation>
    <dataValidation type="textLength" operator="lessThanOrEqual" allowBlank="1" showInputMessage="1" showErrorMessage="1" errorTitle="Ошибка" error="Допускается ввод не более 900 символов!" sqref="M38">
      <formula1>900</formula1>
    </dataValidation>
    <dataValidation type="list" allowBlank="1" showInputMessage="1" showErrorMessage="1" sqref="I38">
      <formula1>DESCRIPTION_TERRITORY</formula1>
    </dataValidation>
    <dataValidation type="textLength" operator="lessThanOrEqual" allowBlank="1" showInputMessage="1" showErrorMessage="1" errorTitle="Ошибка" error="Допускается ввод не более 900 символов!" sqref="M37">
      <formula1>900</formula1>
    </dataValidation>
    <dataValidation type="list" allowBlank="1" showInputMessage="1" showErrorMessage="1" sqref="I37">
      <formula1>DESCRIPTION_TERRITORY</formula1>
    </dataValidation>
    <dataValidation type="textLength" operator="lessThanOrEqual" allowBlank="1" showInputMessage="1" showErrorMessage="1" errorTitle="Ошибка" error="Допускается ввод не более 900 символов!" sqref="M36">
      <formula1>900</formula1>
    </dataValidation>
    <dataValidation type="list" allowBlank="1" showInputMessage="1" showErrorMessage="1" sqref="I36">
      <formula1>DESCRIPTION_TERRITORY</formula1>
    </dataValidation>
    <dataValidation type="textLength" operator="lessThanOrEqual" allowBlank="1" showInputMessage="1" showErrorMessage="1" errorTitle="Ошибка" error="Допускается ввод не более 900 символов!" sqref="M35">
      <formula1>900</formula1>
    </dataValidation>
    <dataValidation type="list" allowBlank="1" showInputMessage="1" showErrorMessage="1" sqref="I35">
      <formula1>DESCRIPTION_TERRITORY</formula1>
    </dataValidation>
    <dataValidation type="textLength" operator="lessThanOrEqual" allowBlank="1" showInputMessage="1" showErrorMessage="1" errorTitle="Ошибка" error="Допускается ввод не более 900 символов!" sqref="M34">
      <formula1>900</formula1>
    </dataValidation>
    <dataValidation type="list" allowBlank="1" showInputMessage="1" showErrorMessage="1" sqref="I34">
      <formula1>DESCRIPTION_TERRITORY</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list" allowBlank="1" showInputMessage="1" showErrorMessage="1" sqref="I33">
      <formula1>DESCRIPTION_TERRITORY</formula1>
    </dataValidation>
    <dataValidation type="textLength" operator="lessThanOrEqual" allowBlank="1" showInputMessage="1" showErrorMessage="1" errorTitle="Ошибка" error="Допускается ввод не более 900 символов!" sqref="M32">
      <formula1>900</formula1>
    </dataValidation>
    <dataValidation type="list" allowBlank="1" showInputMessage="1" showErrorMessage="1" sqref="I32">
      <formula1>DESCRIPTION_TERRITORY</formula1>
    </dataValidation>
    <dataValidation type="textLength" operator="lessThanOrEqual" allowBlank="1" showInputMessage="1" showErrorMessage="1" errorTitle="Ошибка" error="Допускается ввод не более 900 символов!" sqref="M31">
      <formula1>900</formula1>
    </dataValidation>
    <dataValidation type="list" allowBlank="1" showInputMessage="1" showErrorMessage="1" sqref="I31">
      <formula1>DESCRIPTION_TERRITORY</formula1>
    </dataValidation>
    <dataValidation type="textLength" operator="lessThanOrEqual" allowBlank="1" showInputMessage="1" showErrorMessage="1" errorTitle="Ошибка" error="Допускается ввод не более 900 символов!" sqref="M30">
      <formula1>900</formula1>
    </dataValidation>
    <dataValidation type="list" allowBlank="1" showInputMessage="1" showErrorMessage="1" sqref="I30">
      <formula1>DESCRIPTION_TERRITORY</formula1>
    </dataValidation>
    <dataValidation type="textLength" operator="lessThanOrEqual" allowBlank="1" showInputMessage="1" showErrorMessage="1" errorTitle="Ошибка" error="Допускается ввод не более 900 символов!" sqref="M29">
      <formula1>900</formula1>
    </dataValidation>
    <dataValidation type="list" allowBlank="1" showInputMessage="1" showErrorMessage="1" sqref="I29">
      <formula1>DESCRIPTION_TERRITORY</formula1>
    </dataValidation>
    <dataValidation type="textLength" operator="lessThanOrEqual" allowBlank="1" showInputMessage="1" showErrorMessage="1" errorTitle="Ошибка" error="Допускается ввод не более 900 символов!" sqref="M28">
      <formula1>900</formula1>
    </dataValidation>
    <dataValidation type="list" allowBlank="1" showInputMessage="1" showErrorMessage="1" sqref="I28">
      <formula1>DESCRIPTION_TERRITORY</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list" allowBlank="1" showInputMessage="1" showErrorMessage="1" sqref="I27">
      <formula1>DESCRIPTION_TERRITORY</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list" allowBlank="1" showInputMessage="1" showErrorMessage="1" sqref="I26">
      <formula1>DESCRIPTION_TERRITORY</formula1>
    </dataValidation>
    <dataValidation type="textLength" operator="lessThanOrEqual" allowBlank="1" showInputMessage="1" showErrorMessage="1" errorTitle="Ошибка" error="Допускается ввод не более 900 символов!" sqref="M25">
      <formula1>900</formula1>
    </dataValidation>
    <dataValidation type="list" allowBlank="1" showInputMessage="1" showErrorMessage="1" sqref="I25">
      <formula1>DESCRIPTION_TERRITORY</formula1>
    </dataValidation>
    <dataValidation type="textLength" operator="lessThanOrEqual" allowBlank="1" showInputMessage="1" showErrorMessage="1" errorTitle="Ошибка" error="Допускается ввод не более 900 символов!" sqref="M24">
      <formula1>900</formula1>
    </dataValidation>
    <dataValidation type="list" allowBlank="1" showInputMessage="1" showErrorMessage="1" sqref="I24">
      <formula1>DESCRIPTION_TERRITORY</formula1>
    </dataValidation>
    <dataValidation type="textLength" operator="lessThanOrEqual" allowBlank="1" showInputMessage="1" showErrorMessage="1" errorTitle="Ошибка" error="Допускается ввод не более 900 символов!" sqref="M23">
      <formula1>900</formula1>
    </dataValidation>
    <dataValidation type="list" allowBlank="1" showInputMessage="1" showErrorMessage="1" sqref="I23">
      <formula1>DESCRIPTION_TERRITORY</formula1>
    </dataValidation>
    <dataValidation type="textLength" operator="lessThanOrEqual" allowBlank="1" showInputMessage="1" showErrorMessage="1" errorTitle="Ошибка" error="Допускается ввод не более 900 символов!" sqref="M22">
      <formula1>900</formula1>
    </dataValidation>
    <dataValidation type="list" allowBlank="1" showInputMessage="1" showErrorMessage="1" sqref="I22">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list" allowBlank="1" showInputMessage="1" showErrorMessage="1" sqref="I21">
      <formula1>DESCRIPTION_TERRITORY</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list" allowBlank="1" showInputMessage="1" showErrorMessage="1" sqref="I20">
      <formula1>DESCRIPTION_TERRITORY</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1D54B-6627-6431-2D86-0.2DFA062D}" mc:Ignorable="x14ac xr xr2 xr3">
  <sheetPr>
    <tabColor rgb="FFE26B0A"/>
  </sheetPr>
  <dimension ref="A1:CD40"/>
  <sheetViews>
    <sheetView topLeftCell="A1" showGridLines="0" zoomScale="90" workbookViewId="0">
      <selection activeCell="BS25" sqref="BS25"/>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644" width="25.7109375" customWidth="1"/>
    <col min="12" max="12" style="1644" width="33.7109375" customWidth="1"/>
    <col min="13" max="13" style="1644" width="25.7109375" customWidth="1"/>
    <col min="14" max="14" style="1644" width="33.7109375" customWidth="1"/>
    <col min="15" max="15" style="1644" width="25.7109375" customWidth="1"/>
    <col min="16" max="16" style="1644" width="33.7109375" customWidth="1"/>
    <col min="17" max="17" style="1644" width="25.7109375" customWidth="1"/>
    <col min="18" max="18" style="1644" width="33.7109375" customWidth="1"/>
    <col min="19" max="19" style="1644" width="25.7109375" customWidth="1"/>
    <col min="20" max="20" style="1644" width="33.7109375" customWidth="1"/>
    <col min="21" max="21" style="1644" width="25.7109375" customWidth="1"/>
    <col min="22" max="22" style="1644" width="33.7109375" customWidth="1"/>
    <col min="23" max="23" style="1644" width="25.7109375" customWidth="1"/>
    <col min="24" max="24" style="1644" width="33.7109375" customWidth="1"/>
    <col min="25" max="25" style="1644" width="25.7109375" customWidth="1"/>
    <col min="26" max="26" style="1644" width="33.7109375" customWidth="1"/>
    <col min="27" max="27" style="1644" width="25.7109375" customWidth="1"/>
    <col min="28" max="28" style="1644" width="33.7109375" customWidth="1"/>
    <col min="29" max="29" style="1644" width="25.7109375" customWidth="1"/>
    <col min="30" max="30" style="1644" width="33.7109375" customWidth="1"/>
    <col min="31" max="31" style="1644" width="25.7109375" customWidth="1"/>
    <col min="32" max="32" style="1644" width="33.7109375" customWidth="1"/>
    <col min="33" max="33" style="1644" width="25.7109375" customWidth="1"/>
    <col min="34" max="34" style="1644" width="33.7109375" customWidth="1"/>
    <col min="35" max="35" style="1644" width="25.7109375" customWidth="1"/>
    <col min="36" max="36" style="1644" width="33.7109375" customWidth="1"/>
    <col min="37" max="37" style="1644" width="25.7109375" customWidth="1"/>
    <col min="38" max="38" style="1644" width="33.7109375" customWidth="1"/>
    <col min="39" max="39" style="1644" width="25.7109375" customWidth="1"/>
    <col min="40" max="40" style="1644" width="33.7109375" customWidth="1"/>
    <col min="41" max="41" style="1644" width="25.7109375" customWidth="1"/>
    <col min="42" max="42" style="1644" width="33.7109375" customWidth="1"/>
    <col min="43" max="43" style="1644" width="25.7109375" customWidth="1"/>
    <col min="44" max="44" style="1644" width="33.7109375" customWidth="1"/>
    <col min="45" max="45" style="1644" width="25.7109375" customWidth="1"/>
    <col min="46" max="46" style="1644" width="33.7109375" customWidth="1"/>
    <col min="47" max="47" style="1644" width="25.7109375" customWidth="1"/>
    <col min="48" max="48" style="1644" width="33.7109375" customWidth="1"/>
    <col min="49" max="49" style="1644" width="25.7109375" customWidth="1"/>
    <col min="50" max="50" style="1644" width="33.7109375" customWidth="1"/>
    <col min="51" max="51" style="1644" width="25.7109375" customWidth="1"/>
    <col min="52" max="52" style="1644" width="33.7109375" customWidth="1"/>
    <col min="53" max="53" style="1644" width="25.7109375" customWidth="1"/>
    <col min="54" max="54" style="1644" width="33.7109375" customWidth="1"/>
    <col min="55" max="55" style="1644" width="25.7109375" customWidth="1"/>
    <col min="56" max="56" style="1644" width="33.7109375" customWidth="1"/>
    <col min="57" max="57" style="1644" width="25.7109375" customWidth="1"/>
    <col min="58" max="58" style="1644" width="33.7109375" customWidth="1"/>
    <col min="59" max="59" style="1644" width="25.7109375" customWidth="1"/>
    <col min="60" max="60" style="1644" width="33.7109375" customWidth="1"/>
    <col min="61" max="61" style="1644" width="25.7109375" customWidth="1"/>
    <col min="62" max="62" style="1644" width="33.7109375" customWidth="1"/>
    <col min="63" max="63" style="1644" width="25.7109375" customWidth="1"/>
    <col min="64" max="64" style="1644" width="33.7109375" customWidth="1"/>
    <col min="65" max="65" style="1644" width="25.7109375" customWidth="1"/>
    <col min="66" max="66" style="1644" width="33.7109375" customWidth="1"/>
    <col min="67" max="67" style="1644" width="25.7109375" customWidth="1"/>
    <col min="68" max="68" style="1644" width="33.7109375" customWidth="1"/>
    <col min="69" max="69" style="1644" width="25.7109375" customWidth="1"/>
    <col min="70" max="70" style="1644" width="33.7109375" customWidth="1"/>
    <col min="71" max="71" style="1375" width="93.00390625" customWidth="1"/>
    <col min="72" max="80" style="1644" width="10.00390625" customWidth="1"/>
    <col min="81" max="81" style="684" width="10.00390625" customWidth="1"/>
    <col min="82" max="82"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M1" s="1375">
        <v>4</v>
      </c>
      <c r="AN1" s="1375"/>
      <c r="AO1" s="1375">
        <v>4</v>
      </c>
      <c r="AP1" s="1375"/>
      <c r="AQ1" s="1375">
        <v>4</v>
      </c>
      <c r="AR1" s="1375"/>
      <c r="AS1" s="1375">
        <v>4</v>
      </c>
      <c r="AT1" s="1375"/>
      <c r="AU1" s="1375">
        <v>4</v>
      </c>
      <c r="AV1" s="1375"/>
      <c r="AW1" s="1375">
        <v>4</v>
      </c>
      <c r="AX1" s="1375"/>
      <c r="AY1" s="1375">
        <v>4</v>
      </c>
      <c r="AZ1" s="1375"/>
      <c r="BA1" s="1375">
        <v>4</v>
      </c>
      <c r="BB1" s="1375"/>
      <c r="BC1" s="1375">
        <v>4</v>
      </c>
      <c r="BD1" s="1375"/>
      <c r="BE1" s="1375">
        <v>4</v>
      </c>
      <c r="BF1" s="1375"/>
      <c r="BG1" s="1375">
        <v>4</v>
      </c>
      <c r="BH1" s="1375"/>
      <c r="BI1" s="1375">
        <v>4</v>
      </c>
      <c r="BJ1" s="1375"/>
      <c r="BK1" s="1375">
        <v>4</v>
      </c>
      <c r="BL1" s="1375"/>
      <c r="BM1" s="1375">
        <v>4</v>
      </c>
      <c r="BN1" s="1375"/>
      <c r="BO1" s="1375">
        <v>4</v>
      </c>
      <c r="BP1" s="1375"/>
      <c r="BQ1" s="1375">
        <v>4</v>
      </c>
      <c r="BR1" s="1375"/>
      <c r="CC1" s="429"/>
      <c r="CD1" s="426" t="s">
        <v>14</v>
      </c>
    </row>
    <row s="1375" customFormat="1" customHeight="1" ht="15" hidden="1">
      <c r="C2" s="681"/>
      <c r="K2" s="1375"/>
      <c r="L2" s="1375"/>
      <c r="M2" s="1375"/>
      <c r="N2" s="1375"/>
      <c r="O2" s="1375"/>
      <c r="P2" s="1375"/>
      <c r="Q2" s="1375"/>
      <c r="R2" s="1375"/>
      <c r="S2" s="1375"/>
      <c r="T2" s="1375"/>
      <c r="U2" s="1375"/>
      <c r="V2" s="1375"/>
      <c r="W2" s="1375"/>
      <c r="X2" s="1375"/>
      <c r="Y2" s="1375"/>
      <c r="Z2" s="1375"/>
      <c r="AA2" s="1375"/>
      <c r="AB2" s="1375"/>
      <c r="AC2" s="1375"/>
      <c r="AD2" s="1375"/>
      <c r="AE2" s="1375"/>
      <c r="AF2" s="1375"/>
      <c r="AG2" s="1375"/>
      <c r="AH2" s="1375"/>
      <c r="AI2" s="1375"/>
      <c r="AJ2" s="1375"/>
      <c r="AK2" s="1375"/>
      <c r="AL2" s="1375"/>
      <c r="AM2" s="1375"/>
      <c r="AN2" s="1375"/>
      <c r="AO2" s="1375"/>
      <c r="AP2" s="1375"/>
      <c r="AQ2" s="1375"/>
      <c r="AR2" s="1375"/>
      <c r="AS2" s="1375"/>
      <c r="AT2" s="1375"/>
      <c r="AU2" s="1375"/>
      <c r="AV2" s="1375"/>
      <c r="AW2" s="1375"/>
      <c r="AX2" s="1375"/>
      <c r="AY2" s="1375"/>
      <c r="AZ2" s="1375"/>
      <c r="BA2" s="1375"/>
      <c r="BB2" s="1375"/>
      <c r="BC2" s="1375"/>
      <c r="BD2" s="1375"/>
      <c r="BE2" s="1375"/>
      <c r="BF2" s="1375"/>
      <c r="BG2" s="1375"/>
      <c r="BH2" s="1375"/>
      <c r="BI2" s="1375"/>
      <c r="BJ2" s="1375"/>
      <c r="BK2" s="1375"/>
      <c r="BL2" s="1375"/>
      <c r="BM2" s="1375"/>
      <c r="BN2" s="1375"/>
      <c r="BO2" s="1375"/>
      <c r="BP2" s="1375"/>
      <c r="BQ2" s="1375"/>
      <c r="BR2" s="1375"/>
      <c r="CC2" s="429"/>
      <c r="CD2" s="426">
        <v>0</v>
      </c>
    </row>
    <row customHeight="1" ht="22.5" hidden="1">
      <c r="A3" s="514"/>
      <c r="B3" s="2406"/>
      <c r="C3" s="2407" t="s">
        <v>121</v>
      </c>
      <c r="D3" s="698" t="str">
        <f>B3&amp;".1"</f>
        <v>.1</v>
      </c>
      <c r="E3" s="699" t="s">
        <v>1038</v>
      </c>
      <c r="F3" s="700" t="s">
        <v>379</v>
      </c>
      <c r="G3" s="695"/>
      <c r="H3" s="410"/>
      <c r="I3" s="695"/>
      <c r="J3" s="410"/>
      <c r="K3" s="2362"/>
      <c r="L3" s="827"/>
      <c r="M3" s="2362"/>
      <c r="N3" s="827"/>
      <c r="O3" s="2362"/>
      <c r="P3" s="827"/>
      <c r="Q3" s="2362"/>
      <c r="R3" s="827"/>
      <c r="S3" s="2362"/>
      <c r="T3" s="827"/>
      <c r="U3" s="2362"/>
      <c r="V3" s="827"/>
      <c r="W3" s="2362"/>
      <c r="X3" s="827"/>
      <c r="Y3" s="2362"/>
      <c r="Z3" s="827"/>
      <c r="AA3" s="2362"/>
      <c r="AB3" s="827"/>
      <c r="AC3" s="2362"/>
      <c r="AD3" s="827"/>
      <c r="AE3" s="2362"/>
      <c r="AF3" s="827"/>
      <c r="AG3" s="2362"/>
      <c r="AH3" s="827"/>
      <c r="AI3" s="2362"/>
      <c r="AJ3" s="827"/>
      <c r="AK3" s="2362"/>
      <c r="AL3" s="827"/>
      <c r="AM3" s="2362"/>
      <c r="AN3" s="827"/>
      <c r="AO3" s="2362"/>
      <c r="AP3" s="827"/>
      <c r="AQ3" s="2362"/>
      <c r="AR3" s="827"/>
      <c r="AS3" s="2362"/>
      <c r="AT3" s="827"/>
      <c r="AU3" s="2362"/>
      <c r="AV3" s="827"/>
      <c r="AW3" s="2362"/>
      <c r="AX3" s="827"/>
      <c r="AY3" s="2362"/>
      <c r="AZ3" s="827"/>
      <c r="BA3" s="2362"/>
      <c r="BB3" s="827"/>
      <c r="BC3" s="2362"/>
      <c r="BD3" s="827"/>
      <c r="BE3" s="2362"/>
      <c r="BF3" s="827"/>
      <c r="BG3" s="2362"/>
      <c r="BH3" s="827"/>
      <c r="BI3" s="2362"/>
      <c r="BJ3" s="827"/>
      <c r="BK3" s="2362"/>
      <c r="BL3" s="827"/>
      <c r="BM3" s="3100"/>
      <c r="BN3" s="827"/>
      <c r="BO3" s="3100"/>
      <c r="BP3" s="827"/>
      <c r="BQ3" s="3100"/>
      <c r="BR3" s="827"/>
      <c r="BS3" s="298" t="s">
        <v>1039</v>
      </c>
      <c r="CD3" s="514">
        <v>0</v>
      </c>
    </row>
    <row customHeight="1" ht="15" hidden="1">
      <c r="A4" s="514"/>
      <c r="B4" s="2406"/>
      <c r="C4" s="2407"/>
      <c r="D4" s="698" t="str">
        <f>B3&amp;".2"</f>
        <v>.2</v>
      </c>
      <c r="E4" s="699" t="s">
        <v>1040</v>
      </c>
      <c r="F4" s="700" t="s">
        <v>379</v>
      </c>
      <c r="G4" s="1747" t="s">
        <v>22</v>
      </c>
      <c r="H4" s="410"/>
      <c r="I4" s="1747" t="s">
        <v>22</v>
      </c>
      <c r="J4" s="410"/>
      <c r="K4" s="1747" t="s">
        <v>22</v>
      </c>
      <c r="L4" s="827"/>
      <c r="M4" s="1747" t="s">
        <v>22</v>
      </c>
      <c r="N4" s="827"/>
      <c r="O4" s="1747" t="s">
        <v>22</v>
      </c>
      <c r="P4" s="827"/>
      <c r="Q4" s="1747" t="s">
        <v>22</v>
      </c>
      <c r="R4" s="827"/>
      <c r="S4" s="1747" t="s">
        <v>22</v>
      </c>
      <c r="T4" s="827"/>
      <c r="U4" s="1747" t="s">
        <v>22</v>
      </c>
      <c r="V4" s="827"/>
      <c r="W4" s="1747" t="s">
        <v>22</v>
      </c>
      <c r="X4" s="827"/>
      <c r="Y4" s="1747" t="s">
        <v>22</v>
      </c>
      <c r="Z4" s="827"/>
      <c r="AA4" s="1747" t="s">
        <v>22</v>
      </c>
      <c r="AB4" s="827"/>
      <c r="AC4" s="1747" t="s">
        <v>22</v>
      </c>
      <c r="AD4" s="827"/>
      <c r="AE4" s="1747" t="s">
        <v>22</v>
      </c>
      <c r="AF4" s="827"/>
      <c r="AG4" s="1747" t="s">
        <v>22</v>
      </c>
      <c r="AH4" s="827"/>
      <c r="AI4" s="1747" t="s">
        <v>22</v>
      </c>
      <c r="AJ4" s="827"/>
      <c r="AK4" s="1747" t="s">
        <v>22</v>
      </c>
      <c r="AL4" s="827"/>
      <c r="AM4" s="1747" t="s">
        <v>22</v>
      </c>
      <c r="AN4" s="827"/>
      <c r="AO4" s="1747" t="s">
        <v>22</v>
      </c>
      <c r="AP4" s="827"/>
      <c r="AQ4" s="1747" t="s">
        <v>22</v>
      </c>
      <c r="AR4" s="827"/>
      <c r="AS4" s="1747" t="s">
        <v>22</v>
      </c>
      <c r="AT4" s="827"/>
      <c r="AU4" s="1747" t="s">
        <v>22</v>
      </c>
      <c r="AV4" s="827"/>
      <c r="AW4" s="1747" t="s">
        <v>22</v>
      </c>
      <c r="AX4" s="827"/>
      <c r="AY4" s="1747" t="s">
        <v>22</v>
      </c>
      <c r="AZ4" s="827"/>
      <c r="BA4" s="1747" t="s">
        <v>22</v>
      </c>
      <c r="BB4" s="827"/>
      <c r="BC4" s="1747" t="s">
        <v>22</v>
      </c>
      <c r="BD4" s="827"/>
      <c r="BE4" s="1747" t="s">
        <v>22</v>
      </c>
      <c r="BF4" s="827"/>
      <c r="BG4" s="1747" t="s">
        <v>22</v>
      </c>
      <c r="BH4" s="827"/>
      <c r="BI4" s="1747" t="s">
        <v>22</v>
      </c>
      <c r="BJ4" s="827"/>
      <c r="BK4" s="1747" t="s">
        <v>22</v>
      </c>
      <c r="BL4" s="827"/>
      <c r="BM4" s="1747" t="s">
        <v>22</v>
      </c>
      <c r="BN4" s="827"/>
      <c r="BO4" s="1747" t="s">
        <v>22</v>
      </c>
      <c r="BP4" s="827"/>
      <c r="BQ4" s="1747" t="s">
        <v>22</v>
      </c>
      <c r="BR4" s="827"/>
      <c r="BS4" s="298" t="s">
        <v>1041</v>
      </c>
      <c r="CD4" s="514">
        <v>0</v>
      </c>
    </row>
    <row s="1375" customFormat="1" customHeight="1" ht="15" hidden="1">
      <c r="C5" s="681"/>
      <c r="K5" s="1375"/>
      <c r="L5" s="1375"/>
      <c r="M5" s="1375"/>
      <c r="N5" s="1375"/>
      <c r="O5" s="1375"/>
      <c r="P5" s="1375"/>
      <c r="Q5" s="1375"/>
      <c r="R5" s="1375"/>
      <c r="S5" s="1375"/>
      <c r="T5" s="1375"/>
      <c r="U5" s="1375"/>
      <c r="V5" s="1375"/>
      <c r="W5" s="1375"/>
      <c r="X5" s="1375"/>
      <c r="Y5" s="1375"/>
      <c r="Z5" s="1375"/>
      <c r="AA5" s="1375"/>
      <c r="AB5" s="1375"/>
      <c r="AC5" s="1375"/>
      <c r="AD5" s="1375"/>
      <c r="AE5" s="1375"/>
      <c r="AF5" s="1375"/>
      <c r="AG5" s="1375"/>
      <c r="AH5" s="1375"/>
      <c r="AI5" s="1375"/>
      <c r="AJ5" s="1375"/>
      <c r="AK5" s="1375"/>
      <c r="AL5" s="1375"/>
      <c r="AM5" s="1375"/>
      <c r="AN5" s="1375"/>
      <c r="AO5" s="1375"/>
      <c r="AP5" s="1375"/>
      <c r="AQ5" s="1375"/>
      <c r="AR5" s="1375"/>
      <c r="AS5" s="1375"/>
      <c r="AT5" s="1375"/>
      <c r="AU5" s="1375"/>
      <c r="AV5" s="1375"/>
      <c r="AW5" s="1375"/>
      <c r="AX5" s="1375"/>
      <c r="AY5" s="1375"/>
      <c r="AZ5" s="1375"/>
      <c r="BA5" s="1375"/>
      <c r="BB5" s="1375"/>
      <c r="BC5" s="1375"/>
      <c r="BD5" s="1375"/>
      <c r="BE5" s="1375"/>
      <c r="BF5" s="1375"/>
      <c r="BG5" s="1375"/>
      <c r="BH5" s="1375"/>
      <c r="BI5" s="1375"/>
      <c r="BJ5" s="1375"/>
      <c r="BK5" s="1375"/>
      <c r="BL5" s="1375"/>
      <c r="BM5" s="1375"/>
      <c r="BN5" s="1375"/>
      <c r="BO5" s="1375"/>
      <c r="BP5" s="1375"/>
      <c r="BQ5" s="1375"/>
      <c r="BR5" s="1375"/>
      <c r="CC5" s="429"/>
      <c r="CD5" s="426">
        <v>0</v>
      </c>
    </row>
    <row customHeight="1" ht="22.5" hidden="1">
      <c r="A6" s="514"/>
      <c r="B6" s="2406"/>
      <c r="C6" s="2407" t="s">
        <v>121</v>
      </c>
      <c r="D6" s="698" t="str">
        <f>B6&amp;".1"</f>
        <v>.1</v>
      </c>
      <c r="E6" s="699" t="s">
        <v>1042</v>
      </c>
      <c r="F6" s="700" t="s">
        <v>379</v>
      </c>
      <c r="G6" s="695"/>
      <c r="H6" s="410"/>
      <c r="I6" s="695"/>
      <c r="J6" s="410"/>
      <c r="K6" s="2362"/>
      <c r="L6" s="827"/>
      <c r="M6" s="2362"/>
      <c r="N6" s="827"/>
      <c r="O6" s="2362"/>
      <c r="P6" s="827"/>
      <c r="Q6" s="2362"/>
      <c r="R6" s="827"/>
      <c r="S6" s="2362"/>
      <c r="T6" s="827"/>
      <c r="U6" s="2362"/>
      <c r="V6" s="827"/>
      <c r="W6" s="2362"/>
      <c r="X6" s="827"/>
      <c r="Y6" s="2362"/>
      <c r="Z6" s="827"/>
      <c r="AA6" s="2362"/>
      <c r="AB6" s="827"/>
      <c r="AC6" s="2362"/>
      <c r="AD6" s="827"/>
      <c r="AE6" s="2362"/>
      <c r="AF6" s="827"/>
      <c r="AG6" s="2362"/>
      <c r="AH6" s="827"/>
      <c r="AI6" s="2362"/>
      <c r="AJ6" s="827"/>
      <c r="AK6" s="2362"/>
      <c r="AL6" s="827"/>
      <c r="AM6" s="2362"/>
      <c r="AN6" s="827"/>
      <c r="AO6" s="2362"/>
      <c r="AP6" s="827"/>
      <c r="AQ6" s="2362"/>
      <c r="AR6" s="827"/>
      <c r="AS6" s="2362"/>
      <c r="AT6" s="827"/>
      <c r="AU6" s="2362"/>
      <c r="AV6" s="827"/>
      <c r="AW6" s="2362"/>
      <c r="AX6" s="827"/>
      <c r="AY6" s="2362"/>
      <c r="AZ6" s="827"/>
      <c r="BA6" s="2362"/>
      <c r="BB6" s="827"/>
      <c r="BC6" s="2362"/>
      <c r="BD6" s="827"/>
      <c r="BE6" s="2362"/>
      <c r="BF6" s="827"/>
      <c r="BG6" s="2362"/>
      <c r="BH6" s="827"/>
      <c r="BI6" s="2362"/>
      <c r="BJ6" s="827"/>
      <c r="BK6" s="2362"/>
      <c r="BL6" s="827"/>
      <c r="BM6" s="3100"/>
      <c r="BN6" s="827"/>
      <c r="BO6" s="3100"/>
      <c r="BP6" s="827"/>
      <c r="BQ6" s="3100"/>
      <c r="BR6" s="827"/>
      <c r="BS6" s="298" t="s">
        <v>1043</v>
      </c>
      <c r="CD6" s="514">
        <v>0</v>
      </c>
    </row>
    <row customHeight="1" ht="15" hidden="1">
      <c r="A7" s="514"/>
      <c r="B7" s="2406"/>
      <c r="C7" s="2407"/>
      <c r="D7" s="698" t="str">
        <f>B6&amp;".2"</f>
        <v>.2</v>
      </c>
      <c r="E7" s="699" t="s">
        <v>1040</v>
      </c>
      <c r="F7" s="700" t="s">
        <v>379</v>
      </c>
      <c r="G7" s="1747" t="s">
        <v>22</v>
      </c>
      <c r="H7" s="410"/>
      <c r="I7" s="1747" t="s">
        <v>22</v>
      </c>
      <c r="J7" s="410"/>
      <c r="K7" s="1747" t="s">
        <v>22</v>
      </c>
      <c r="L7" s="827"/>
      <c r="M7" s="1747" t="s">
        <v>22</v>
      </c>
      <c r="N7" s="827"/>
      <c r="O7" s="1747" t="s">
        <v>22</v>
      </c>
      <c r="P7" s="827"/>
      <c r="Q7" s="1747" t="s">
        <v>22</v>
      </c>
      <c r="R7" s="827"/>
      <c r="S7" s="1747" t="s">
        <v>22</v>
      </c>
      <c r="T7" s="827"/>
      <c r="U7" s="1747" t="s">
        <v>22</v>
      </c>
      <c r="V7" s="827"/>
      <c r="W7" s="1747" t="s">
        <v>22</v>
      </c>
      <c r="X7" s="827"/>
      <c r="Y7" s="1747" t="s">
        <v>22</v>
      </c>
      <c r="Z7" s="827"/>
      <c r="AA7" s="1747" t="s">
        <v>22</v>
      </c>
      <c r="AB7" s="827"/>
      <c r="AC7" s="1747" t="s">
        <v>22</v>
      </c>
      <c r="AD7" s="827"/>
      <c r="AE7" s="1747" t="s">
        <v>22</v>
      </c>
      <c r="AF7" s="827"/>
      <c r="AG7" s="1747" t="s">
        <v>22</v>
      </c>
      <c r="AH7" s="827"/>
      <c r="AI7" s="1747" t="s">
        <v>22</v>
      </c>
      <c r="AJ7" s="827"/>
      <c r="AK7" s="1747" t="s">
        <v>22</v>
      </c>
      <c r="AL7" s="827"/>
      <c r="AM7" s="1747" t="s">
        <v>22</v>
      </c>
      <c r="AN7" s="827"/>
      <c r="AO7" s="1747" t="s">
        <v>22</v>
      </c>
      <c r="AP7" s="827"/>
      <c r="AQ7" s="1747" t="s">
        <v>22</v>
      </c>
      <c r="AR7" s="827"/>
      <c r="AS7" s="1747" t="s">
        <v>22</v>
      </c>
      <c r="AT7" s="827"/>
      <c r="AU7" s="1747" t="s">
        <v>22</v>
      </c>
      <c r="AV7" s="827"/>
      <c r="AW7" s="1747" t="s">
        <v>22</v>
      </c>
      <c r="AX7" s="827"/>
      <c r="AY7" s="1747" t="s">
        <v>22</v>
      </c>
      <c r="AZ7" s="827"/>
      <c r="BA7" s="1747" t="s">
        <v>22</v>
      </c>
      <c r="BB7" s="827"/>
      <c r="BC7" s="1747" t="s">
        <v>22</v>
      </c>
      <c r="BD7" s="827"/>
      <c r="BE7" s="1747" t="s">
        <v>22</v>
      </c>
      <c r="BF7" s="827"/>
      <c r="BG7" s="1747" t="s">
        <v>22</v>
      </c>
      <c r="BH7" s="827"/>
      <c r="BI7" s="1747" t="s">
        <v>22</v>
      </c>
      <c r="BJ7" s="827"/>
      <c r="BK7" s="1747" t="s">
        <v>22</v>
      </c>
      <c r="BL7" s="827"/>
      <c r="BM7" s="1747" t="s">
        <v>22</v>
      </c>
      <c r="BN7" s="827"/>
      <c r="BO7" s="1747" t="s">
        <v>22</v>
      </c>
      <c r="BP7" s="827"/>
      <c r="BQ7" s="1747" t="s">
        <v>22</v>
      </c>
      <c r="BR7" s="827"/>
      <c r="BS7" s="298" t="s">
        <v>1041</v>
      </c>
      <c r="CD7" s="514">
        <v>0</v>
      </c>
    </row>
    <row s="1375" customFormat="1" customHeight="1" ht="15" hidden="1">
      <c r="C8" s="681"/>
      <c r="K8" s="1375"/>
      <c r="L8" s="1375"/>
      <c r="M8" s="1375"/>
      <c r="N8" s="1375"/>
      <c r="O8" s="1375"/>
      <c r="P8" s="1375"/>
      <c r="Q8" s="1375"/>
      <c r="R8" s="1375"/>
      <c r="S8" s="1375"/>
      <c r="T8" s="1375"/>
      <c r="U8" s="1375"/>
      <c r="V8" s="1375"/>
      <c r="W8" s="1375"/>
      <c r="X8" s="1375"/>
      <c r="Y8" s="1375"/>
      <c r="Z8" s="1375"/>
      <c r="AA8" s="1375"/>
      <c r="AB8" s="1375"/>
      <c r="AC8" s="1375"/>
      <c r="AD8" s="1375"/>
      <c r="AE8" s="1375"/>
      <c r="AF8" s="1375"/>
      <c r="AG8" s="1375"/>
      <c r="AH8" s="1375"/>
      <c r="AI8" s="1375"/>
      <c r="AJ8" s="1375"/>
      <c r="AK8" s="1375"/>
      <c r="AL8" s="1375"/>
      <c r="AM8" s="1375"/>
      <c r="AN8" s="1375"/>
      <c r="AO8" s="1375"/>
      <c r="AP8" s="1375"/>
      <c r="AQ8" s="1375"/>
      <c r="AR8" s="1375"/>
      <c r="AS8" s="1375"/>
      <c r="AT8" s="1375"/>
      <c r="AU8" s="1375"/>
      <c r="AV8" s="1375"/>
      <c r="AW8" s="1375"/>
      <c r="AX8" s="1375"/>
      <c r="AY8" s="1375"/>
      <c r="AZ8" s="1375"/>
      <c r="BA8" s="1375"/>
      <c r="BB8" s="1375"/>
      <c r="BC8" s="1375"/>
      <c r="BD8" s="1375"/>
      <c r="BE8" s="1375"/>
      <c r="BF8" s="1375"/>
      <c r="BG8" s="1375"/>
      <c r="BH8" s="1375"/>
      <c r="BI8" s="1375"/>
      <c r="BJ8" s="1375"/>
      <c r="BK8" s="1375"/>
      <c r="BL8" s="1375"/>
      <c r="BM8" s="1375"/>
      <c r="BN8" s="1375"/>
      <c r="BO8" s="1375"/>
      <c r="BP8" s="1375"/>
      <c r="BQ8" s="1375"/>
      <c r="BR8" s="1375"/>
      <c r="CC8" s="429"/>
      <c r="CD8" s="426">
        <v>0</v>
      </c>
    </row>
    <row customHeight="1" ht="22.5" hidden="1">
      <c r="A9" s="514"/>
      <c r="B9" s="2406"/>
      <c r="C9" s="2407" t="s">
        <v>121</v>
      </c>
      <c r="D9" s="698" t="str">
        <f>B9&amp;".1"</f>
        <v>.1</v>
      </c>
      <c r="E9" s="699" t="s">
        <v>1044</v>
      </c>
      <c r="F9" s="700" t="s">
        <v>379</v>
      </c>
      <c r="G9" s="706" t="s">
        <v>22</v>
      </c>
      <c r="H9" s="410" t="s">
        <v>22</v>
      </c>
      <c r="I9" s="706" t="s">
        <v>22</v>
      </c>
      <c r="J9" s="410" t="s">
        <v>22</v>
      </c>
      <c r="K9" s="870" t="s">
        <v>22</v>
      </c>
      <c r="L9" s="827" t="s">
        <v>22</v>
      </c>
      <c r="M9" s="870" t="s">
        <v>22</v>
      </c>
      <c r="N9" s="827" t="s">
        <v>22</v>
      </c>
      <c r="O9" s="870" t="s">
        <v>22</v>
      </c>
      <c r="P9" s="827" t="s">
        <v>22</v>
      </c>
      <c r="Q9" s="870" t="s">
        <v>22</v>
      </c>
      <c r="R9" s="827" t="s">
        <v>22</v>
      </c>
      <c r="S9" s="870" t="s">
        <v>22</v>
      </c>
      <c r="T9" s="827" t="s">
        <v>22</v>
      </c>
      <c r="U9" s="870" t="s">
        <v>22</v>
      </c>
      <c r="V9" s="827" t="s">
        <v>22</v>
      </c>
      <c r="W9" s="870" t="s">
        <v>22</v>
      </c>
      <c r="X9" s="827" t="s">
        <v>22</v>
      </c>
      <c r="Y9" s="870" t="s">
        <v>22</v>
      </c>
      <c r="Z9" s="827" t="s">
        <v>22</v>
      </c>
      <c r="AA9" s="870" t="s">
        <v>22</v>
      </c>
      <c r="AB9" s="827" t="s">
        <v>22</v>
      </c>
      <c r="AC9" s="870" t="s">
        <v>22</v>
      </c>
      <c r="AD9" s="827" t="s">
        <v>22</v>
      </c>
      <c r="AE9" s="870" t="s">
        <v>22</v>
      </c>
      <c r="AF9" s="827" t="s">
        <v>22</v>
      </c>
      <c r="AG9" s="870" t="s">
        <v>22</v>
      </c>
      <c r="AH9" s="827" t="s">
        <v>22</v>
      </c>
      <c r="AI9" s="870" t="s">
        <v>22</v>
      </c>
      <c r="AJ9" s="827" t="s">
        <v>22</v>
      </c>
      <c r="AK9" s="870" t="s">
        <v>22</v>
      </c>
      <c r="AL9" s="827" t="s">
        <v>22</v>
      </c>
      <c r="AM9" s="870" t="s">
        <v>22</v>
      </c>
      <c r="AN9" s="827" t="s">
        <v>22</v>
      </c>
      <c r="AO9" s="870" t="s">
        <v>22</v>
      </c>
      <c r="AP9" s="827" t="s">
        <v>22</v>
      </c>
      <c r="AQ9" s="870" t="s">
        <v>22</v>
      </c>
      <c r="AR9" s="827" t="s">
        <v>22</v>
      </c>
      <c r="AS9" s="870" t="s">
        <v>22</v>
      </c>
      <c r="AT9" s="827" t="s">
        <v>22</v>
      </c>
      <c r="AU9" s="870" t="s">
        <v>22</v>
      </c>
      <c r="AV9" s="827" t="s">
        <v>22</v>
      </c>
      <c r="AW9" s="870" t="s">
        <v>22</v>
      </c>
      <c r="AX9" s="827" t="s">
        <v>22</v>
      </c>
      <c r="AY9" s="870" t="s">
        <v>22</v>
      </c>
      <c r="AZ9" s="827" t="s">
        <v>22</v>
      </c>
      <c r="BA9" s="870" t="s">
        <v>22</v>
      </c>
      <c r="BB9" s="827" t="s">
        <v>22</v>
      </c>
      <c r="BC9" s="870" t="s">
        <v>22</v>
      </c>
      <c r="BD9" s="827" t="s">
        <v>22</v>
      </c>
      <c r="BE9" s="870" t="s">
        <v>22</v>
      </c>
      <c r="BF9" s="827" t="s">
        <v>22</v>
      </c>
      <c r="BG9" s="870" t="s">
        <v>22</v>
      </c>
      <c r="BH9" s="827" t="s">
        <v>22</v>
      </c>
      <c r="BI9" s="870" t="s">
        <v>22</v>
      </c>
      <c r="BJ9" s="827" t="s">
        <v>22</v>
      </c>
      <c r="BK9" s="870" t="s">
        <v>22</v>
      </c>
      <c r="BL9" s="827" t="s">
        <v>22</v>
      </c>
      <c r="BM9" s="870" t="s">
        <v>22</v>
      </c>
      <c r="BN9" s="827" t="s">
        <v>22</v>
      </c>
      <c r="BO9" s="870" t="s">
        <v>22</v>
      </c>
      <c r="BP9" s="827" t="s">
        <v>22</v>
      </c>
      <c r="BQ9" s="870" t="s">
        <v>22</v>
      </c>
      <c r="BR9" s="827" t="s">
        <v>22</v>
      </c>
      <c r="BS9" s="298"/>
      <c r="CD9" s="514">
        <v>0</v>
      </c>
    </row>
    <row customHeight="1" ht="15" hidden="1">
      <c r="A10" s="514"/>
      <c r="B10" s="2406"/>
      <c r="C10" s="2407"/>
      <c r="D10" s="698" t="str">
        <f>B9&amp;".2"</f>
        <v>.2</v>
      </c>
      <c r="E10" s="699" t="s">
        <v>1045</v>
      </c>
      <c r="F10" s="700" t="s">
        <v>379</v>
      </c>
      <c r="G10" s="1741" t="s">
        <v>22</v>
      </c>
      <c r="H10" s="410" t="s">
        <v>22</v>
      </c>
      <c r="I10" s="1741" t="s">
        <v>22</v>
      </c>
      <c r="J10" s="410" t="s">
        <v>22</v>
      </c>
      <c r="K10" s="1741" t="s">
        <v>22</v>
      </c>
      <c r="L10" s="827" t="s">
        <v>22</v>
      </c>
      <c r="M10" s="1741" t="s">
        <v>22</v>
      </c>
      <c r="N10" s="827" t="s">
        <v>22</v>
      </c>
      <c r="O10" s="1741" t="s">
        <v>22</v>
      </c>
      <c r="P10" s="827" t="s">
        <v>22</v>
      </c>
      <c r="Q10" s="1741" t="s">
        <v>22</v>
      </c>
      <c r="R10" s="827" t="s">
        <v>22</v>
      </c>
      <c r="S10" s="1741" t="s">
        <v>22</v>
      </c>
      <c r="T10" s="827" t="s">
        <v>22</v>
      </c>
      <c r="U10" s="1741" t="s">
        <v>22</v>
      </c>
      <c r="V10" s="827" t="s">
        <v>22</v>
      </c>
      <c r="W10" s="1741" t="s">
        <v>22</v>
      </c>
      <c r="X10" s="827" t="s">
        <v>22</v>
      </c>
      <c r="Y10" s="1741" t="s">
        <v>22</v>
      </c>
      <c r="Z10" s="827" t="s">
        <v>22</v>
      </c>
      <c r="AA10" s="1741" t="s">
        <v>22</v>
      </c>
      <c r="AB10" s="827" t="s">
        <v>22</v>
      </c>
      <c r="AC10" s="1741" t="s">
        <v>22</v>
      </c>
      <c r="AD10" s="827" t="s">
        <v>22</v>
      </c>
      <c r="AE10" s="1741" t="s">
        <v>22</v>
      </c>
      <c r="AF10" s="827" t="s">
        <v>22</v>
      </c>
      <c r="AG10" s="1741" t="s">
        <v>22</v>
      </c>
      <c r="AH10" s="827" t="s">
        <v>22</v>
      </c>
      <c r="AI10" s="1741" t="s">
        <v>22</v>
      </c>
      <c r="AJ10" s="827" t="s">
        <v>22</v>
      </c>
      <c r="AK10" s="1741" t="s">
        <v>22</v>
      </c>
      <c r="AL10" s="827" t="s">
        <v>22</v>
      </c>
      <c r="AM10" s="1741" t="s">
        <v>22</v>
      </c>
      <c r="AN10" s="827" t="s">
        <v>22</v>
      </c>
      <c r="AO10" s="1741" t="s">
        <v>22</v>
      </c>
      <c r="AP10" s="827" t="s">
        <v>22</v>
      </c>
      <c r="AQ10" s="1741" t="s">
        <v>22</v>
      </c>
      <c r="AR10" s="827" t="s">
        <v>22</v>
      </c>
      <c r="AS10" s="1741" t="s">
        <v>22</v>
      </c>
      <c r="AT10" s="827" t="s">
        <v>22</v>
      </c>
      <c r="AU10" s="1741" t="s">
        <v>22</v>
      </c>
      <c r="AV10" s="827" t="s">
        <v>22</v>
      </c>
      <c r="AW10" s="1741" t="s">
        <v>22</v>
      </c>
      <c r="AX10" s="827" t="s">
        <v>22</v>
      </c>
      <c r="AY10" s="1741" t="s">
        <v>22</v>
      </c>
      <c r="AZ10" s="827" t="s">
        <v>22</v>
      </c>
      <c r="BA10" s="1741" t="s">
        <v>22</v>
      </c>
      <c r="BB10" s="827" t="s">
        <v>22</v>
      </c>
      <c r="BC10" s="1741" t="s">
        <v>22</v>
      </c>
      <c r="BD10" s="827" t="s">
        <v>22</v>
      </c>
      <c r="BE10" s="1741" t="s">
        <v>22</v>
      </c>
      <c r="BF10" s="827" t="s">
        <v>22</v>
      </c>
      <c r="BG10" s="1741" t="s">
        <v>22</v>
      </c>
      <c r="BH10" s="827" t="s">
        <v>22</v>
      </c>
      <c r="BI10" s="1741" t="s">
        <v>22</v>
      </c>
      <c r="BJ10" s="827" t="s">
        <v>22</v>
      </c>
      <c r="BK10" s="1741" t="s">
        <v>22</v>
      </c>
      <c r="BL10" s="827" t="s">
        <v>22</v>
      </c>
      <c r="BM10" s="1741" t="s">
        <v>22</v>
      </c>
      <c r="BN10" s="827" t="s">
        <v>22</v>
      </c>
      <c r="BO10" s="1741" t="s">
        <v>22</v>
      </c>
      <c r="BP10" s="827" t="s">
        <v>22</v>
      </c>
      <c r="BQ10" s="1741" t="s">
        <v>22</v>
      </c>
      <c r="BR10" s="827" t="s">
        <v>22</v>
      </c>
      <c r="BS10" s="298" t="s">
        <v>1046</v>
      </c>
      <c r="CD10" s="514">
        <v>0</v>
      </c>
    </row>
    <row customHeight="1" ht="15" hidden="1">
      <c r="A11" s="514"/>
      <c r="B11" s="2406"/>
      <c r="C11" s="2407"/>
      <c r="D11" s="698" t="str">
        <f>B9&amp;".3"</f>
        <v>.3</v>
      </c>
      <c r="E11" s="699" t="s">
        <v>1047</v>
      </c>
      <c r="F11" s="700" t="s">
        <v>379</v>
      </c>
      <c r="G11" s="1741" t="s">
        <v>22</v>
      </c>
      <c r="H11" s="410" t="s">
        <v>22</v>
      </c>
      <c r="I11" s="1741" t="s">
        <v>22</v>
      </c>
      <c r="J11" s="410" t="s">
        <v>22</v>
      </c>
      <c r="K11" s="1741" t="s">
        <v>22</v>
      </c>
      <c r="L11" s="827" t="s">
        <v>22</v>
      </c>
      <c r="M11" s="1741" t="s">
        <v>22</v>
      </c>
      <c r="N11" s="827" t="s">
        <v>22</v>
      </c>
      <c r="O11" s="1741" t="s">
        <v>22</v>
      </c>
      <c r="P11" s="827" t="s">
        <v>22</v>
      </c>
      <c r="Q11" s="1741" t="s">
        <v>22</v>
      </c>
      <c r="R11" s="827" t="s">
        <v>22</v>
      </c>
      <c r="S11" s="1741" t="s">
        <v>22</v>
      </c>
      <c r="T11" s="827" t="s">
        <v>22</v>
      </c>
      <c r="U11" s="1741" t="s">
        <v>22</v>
      </c>
      <c r="V11" s="827" t="s">
        <v>22</v>
      </c>
      <c r="W11" s="1741" t="s">
        <v>22</v>
      </c>
      <c r="X11" s="827" t="s">
        <v>22</v>
      </c>
      <c r="Y11" s="1741" t="s">
        <v>22</v>
      </c>
      <c r="Z11" s="827" t="s">
        <v>22</v>
      </c>
      <c r="AA11" s="1741" t="s">
        <v>22</v>
      </c>
      <c r="AB11" s="827" t="s">
        <v>22</v>
      </c>
      <c r="AC11" s="1741" t="s">
        <v>22</v>
      </c>
      <c r="AD11" s="827" t="s">
        <v>22</v>
      </c>
      <c r="AE11" s="1741" t="s">
        <v>22</v>
      </c>
      <c r="AF11" s="827" t="s">
        <v>22</v>
      </c>
      <c r="AG11" s="1741" t="s">
        <v>22</v>
      </c>
      <c r="AH11" s="827" t="s">
        <v>22</v>
      </c>
      <c r="AI11" s="1741" t="s">
        <v>22</v>
      </c>
      <c r="AJ11" s="827" t="s">
        <v>22</v>
      </c>
      <c r="AK11" s="1741" t="s">
        <v>22</v>
      </c>
      <c r="AL11" s="827" t="s">
        <v>22</v>
      </c>
      <c r="AM11" s="1741" t="s">
        <v>22</v>
      </c>
      <c r="AN11" s="827" t="s">
        <v>22</v>
      </c>
      <c r="AO11" s="1741" t="s">
        <v>22</v>
      </c>
      <c r="AP11" s="827" t="s">
        <v>22</v>
      </c>
      <c r="AQ11" s="1741" t="s">
        <v>22</v>
      </c>
      <c r="AR11" s="827" t="s">
        <v>22</v>
      </c>
      <c r="AS11" s="1741" t="s">
        <v>22</v>
      </c>
      <c r="AT11" s="827" t="s">
        <v>22</v>
      </c>
      <c r="AU11" s="1741" t="s">
        <v>22</v>
      </c>
      <c r="AV11" s="827" t="s">
        <v>22</v>
      </c>
      <c r="AW11" s="1741" t="s">
        <v>22</v>
      </c>
      <c r="AX11" s="827" t="s">
        <v>22</v>
      </c>
      <c r="AY11" s="1741" t="s">
        <v>22</v>
      </c>
      <c r="AZ11" s="827" t="s">
        <v>22</v>
      </c>
      <c r="BA11" s="1741" t="s">
        <v>22</v>
      </c>
      <c r="BB11" s="827" t="s">
        <v>22</v>
      </c>
      <c r="BC11" s="1741" t="s">
        <v>22</v>
      </c>
      <c r="BD11" s="827" t="s">
        <v>22</v>
      </c>
      <c r="BE11" s="1741" t="s">
        <v>22</v>
      </c>
      <c r="BF11" s="827" t="s">
        <v>22</v>
      </c>
      <c r="BG11" s="1741" t="s">
        <v>22</v>
      </c>
      <c r="BH11" s="827" t="s">
        <v>22</v>
      </c>
      <c r="BI11" s="1741" t="s">
        <v>22</v>
      </c>
      <c r="BJ11" s="827" t="s">
        <v>22</v>
      </c>
      <c r="BK11" s="1741" t="s">
        <v>22</v>
      </c>
      <c r="BL11" s="827" t="s">
        <v>22</v>
      </c>
      <c r="BM11" s="1741" t="s">
        <v>22</v>
      </c>
      <c r="BN11" s="827" t="s">
        <v>22</v>
      </c>
      <c r="BO11" s="1741" t="s">
        <v>22</v>
      </c>
      <c r="BP11" s="827" t="s">
        <v>22</v>
      </c>
      <c r="BQ11" s="1741" t="s">
        <v>22</v>
      </c>
      <c r="BR11" s="827" t="s">
        <v>22</v>
      </c>
      <c r="BS11" s="298" t="s">
        <v>1048</v>
      </c>
      <c r="CD11" s="514">
        <v>0</v>
      </c>
    </row>
    <row s="1375" customFormat="1" customHeight="1" ht="15" hidden="1">
      <c r="C12" s="681"/>
      <c r="K12" s="1375"/>
      <c r="L12" s="1375"/>
      <c r="M12" s="1375"/>
      <c r="N12" s="1375"/>
      <c r="O12" s="1375"/>
      <c r="P12" s="1375"/>
      <c r="Q12" s="1375"/>
      <c r="R12" s="1375"/>
      <c r="S12" s="1375"/>
      <c r="T12" s="1375"/>
      <c r="U12" s="1375"/>
      <c r="V12" s="1375"/>
      <c r="W12" s="1375"/>
      <c r="X12" s="1375"/>
      <c r="Y12" s="1375"/>
      <c r="Z12" s="1375"/>
      <c r="AA12" s="1375"/>
      <c r="AB12" s="1375"/>
      <c r="AC12" s="1375"/>
      <c r="AD12" s="1375"/>
      <c r="AE12" s="1375"/>
      <c r="AF12" s="1375"/>
      <c r="AG12" s="1375"/>
      <c r="AH12" s="1375"/>
      <c r="AI12" s="1375"/>
      <c r="AJ12" s="1375"/>
      <c r="AK12" s="1375"/>
      <c r="AL12" s="1375"/>
      <c r="AM12" s="1375"/>
      <c r="AN12" s="1375"/>
      <c r="AO12" s="1375"/>
      <c r="AP12" s="1375"/>
      <c r="AQ12" s="1375"/>
      <c r="AR12" s="1375"/>
      <c r="AS12" s="1375"/>
      <c r="AT12" s="1375"/>
      <c r="AU12" s="1375"/>
      <c r="AV12" s="1375"/>
      <c r="AW12" s="1375"/>
      <c r="AX12" s="1375"/>
      <c r="AY12" s="1375"/>
      <c r="AZ12" s="1375"/>
      <c r="BA12" s="1375"/>
      <c r="BB12" s="1375"/>
      <c r="BC12" s="1375"/>
      <c r="BD12" s="1375"/>
      <c r="BE12" s="1375"/>
      <c r="BF12" s="1375"/>
      <c r="BG12" s="1375"/>
      <c r="BH12" s="1375"/>
      <c r="BI12" s="1375"/>
      <c r="BJ12" s="1375"/>
      <c r="BK12" s="1375"/>
      <c r="BL12" s="1375"/>
      <c r="BM12" s="1375"/>
      <c r="BN12" s="1375"/>
      <c r="BO12" s="1375"/>
      <c r="BP12" s="1375"/>
      <c r="BQ12" s="1375"/>
      <c r="BR12" s="1375"/>
      <c r="CC12" s="429"/>
      <c r="CD12" s="426">
        <v>0</v>
      </c>
    </row>
    <row customHeight="1" ht="33.75" hidden="1">
      <c r="A13" s="514"/>
      <c r="B13" s="2406"/>
      <c r="C13" s="2407" t="s">
        <v>121</v>
      </c>
      <c r="D13" s="698" t="str">
        <f>B13&amp;".1"</f>
        <v>.1</v>
      </c>
      <c r="E13" s="699" t="s">
        <v>1049</v>
      </c>
      <c r="F13" s="700" t="s">
        <v>379</v>
      </c>
      <c r="G13" s="706" t="s">
        <v>22</v>
      </c>
      <c r="H13" s="410" t="s">
        <v>22</v>
      </c>
      <c r="I13" s="706" t="s">
        <v>22</v>
      </c>
      <c r="J13" s="410" t="s">
        <v>22</v>
      </c>
      <c r="K13" s="870" t="s">
        <v>22</v>
      </c>
      <c r="L13" s="827" t="s">
        <v>22</v>
      </c>
      <c r="M13" s="870" t="s">
        <v>22</v>
      </c>
      <c r="N13" s="827" t="s">
        <v>22</v>
      </c>
      <c r="O13" s="870" t="s">
        <v>22</v>
      </c>
      <c r="P13" s="827" t="s">
        <v>22</v>
      </c>
      <c r="Q13" s="870" t="s">
        <v>22</v>
      </c>
      <c r="R13" s="827" t="s">
        <v>22</v>
      </c>
      <c r="S13" s="870" t="s">
        <v>22</v>
      </c>
      <c r="T13" s="827" t="s">
        <v>22</v>
      </c>
      <c r="U13" s="870" t="s">
        <v>22</v>
      </c>
      <c r="V13" s="827" t="s">
        <v>22</v>
      </c>
      <c r="W13" s="870" t="s">
        <v>22</v>
      </c>
      <c r="X13" s="827" t="s">
        <v>22</v>
      </c>
      <c r="Y13" s="870" t="s">
        <v>22</v>
      </c>
      <c r="Z13" s="827" t="s">
        <v>22</v>
      </c>
      <c r="AA13" s="870" t="s">
        <v>22</v>
      </c>
      <c r="AB13" s="827" t="s">
        <v>22</v>
      </c>
      <c r="AC13" s="870" t="s">
        <v>22</v>
      </c>
      <c r="AD13" s="827" t="s">
        <v>22</v>
      </c>
      <c r="AE13" s="870" t="s">
        <v>22</v>
      </c>
      <c r="AF13" s="827" t="s">
        <v>22</v>
      </c>
      <c r="AG13" s="870" t="s">
        <v>22</v>
      </c>
      <c r="AH13" s="827" t="s">
        <v>22</v>
      </c>
      <c r="AI13" s="870" t="s">
        <v>22</v>
      </c>
      <c r="AJ13" s="827" t="s">
        <v>22</v>
      </c>
      <c r="AK13" s="870" t="s">
        <v>22</v>
      </c>
      <c r="AL13" s="827" t="s">
        <v>22</v>
      </c>
      <c r="AM13" s="870" t="s">
        <v>22</v>
      </c>
      <c r="AN13" s="827" t="s">
        <v>22</v>
      </c>
      <c r="AO13" s="870" t="s">
        <v>22</v>
      </c>
      <c r="AP13" s="827" t="s">
        <v>22</v>
      </c>
      <c r="AQ13" s="870" t="s">
        <v>22</v>
      </c>
      <c r="AR13" s="827" t="s">
        <v>22</v>
      </c>
      <c r="AS13" s="870" t="s">
        <v>22</v>
      </c>
      <c r="AT13" s="827" t="s">
        <v>22</v>
      </c>
      <c r="AU13" s="870" t="s">
        <v>22</v>
      </c>
      <c r="AV13" s="827" t="s">
        <v>22</v>
      </c>
      <c r="AW13" s="870" t="s">
        <v>22</v>
      </c>
      <c r="AX13" s="827" t="s">
        <v>22</v>
      </c>
      <c r="AY13" s="870" t="s">
        <v>22</v>
      </c>
      <c r="AZ13" s="827" t="s">
        <v>22</v>
      </c>
      <c r="BA13" s="870" t="s">
        <v>22</v>
      </c>
      <c r="BB13" s="827" t="s">
        <v>22</v>
      </c>
      <c r="BC13" s="870" t="s">
        <v>22</v>
      </c>
      <c r="BD13" s="827" t="s">
        <v>22</v>
      </c>
      <c r="BE13" s="870" t="s">
        <v>22</v>
      </c>
      <c r="BF13" s="827" t="s">
        <v>22</v>
      </c>
      <c r="BG13" s="870" t="s">
        <v>22</v>
      </c>
      <c r="BH13" s="827" t="s">
        <v>22</v>
      </c>
      <c r="BI13" s="870" t="s">
        <v>22</v>
      </c>
      <c r="BJ13" s="827" t="s">
        <v>22</v>
      </c>
      <c r="BK13" s="870" t="s">
        <v>22</v>
      </c>
      <c r="BL13" s="827" t="s">
        <v>22</v>
      </c>
      <c r="BM13" s="870" t="s">
        <v>22</v>
      </c>
      <c r="BN13" s="827" t="s">
        <v>22</v>
      </c>
      <c r="BO13" s="870" t="s">
        <v>22</v>
      </c>
      <c r="BP13" s="827" t="s">
        <v>22</v>
      </c>
      <c r="BQ13" s="870" t="s">
        <v>22</v>
      </c>
      <c r="BR13" s="827" t="s">
        <v>22</v>
      </c>
      <c r="BS13" s="298" t="s">
        <v>1050</v>
      </c>
      <c r="CD13" s="514">
        <v>0</v>
      </c>
    </row>
    <row customHeight="1" ht="15" hidden="1">
      <c r="B14" s="2406"/>
      <c r="C14" s="2407"/>
      <c r="D14" s="698" t="str">
        <f>B13&amp;".2"</f>
        <v>.2</v>
      </c>
      <c r="E14" s="699" t="s">
        <v>1051</v>
      </c>
      <c r="F14" s="700" t="s">
        <v>379</v>
      </c>
      <c r="G14" s="1741" t="s">
        <v>22</v>
      </c>
      <c r="H14" s="410" t="s">
        <v>22</v>
      </c>
      <c r="I14" s="1741" t="s">
        <v>22</v>
      </c>
      <c r="J14" s="410" t="s">
        <v>22</v>
      </c>
      <c r="K14" s="1741" t="s">
        <v>22</v>
      </c>
      <c r="L14" s="827" t="s">
        <v>22</v>
      </c>
      <c r="M14" s="1741" t="s">
        <v>22</v>
      </c>
      <c r="N14" s="827" t="s">
        <v>22</v>
      </c>
      <c r="O14" s="1741" t="s">
        <v>22</v>
      </c>
      <c r="P14" s="827" t="s">
        <v>22</v>
      </c>
      <c r="Q14" s="1741" t="s">
        <v>22</v>
      </c>
      <c r="R14" s="827" t="s">
        <v>22</v>
      </c>
      <c r="S14" s="1741" t="s">
        <v>22</v>
      </c>
      <c r="T14" s="827" t="s">
        <v>22</v>
      </c>
      <c r="U14" s="1741" t="s">
        <v>22</v>
      </c>
      <c r="V14" s="827" t="s">
        <v>22</v>
      </c>
      <c r="W14" s="1741" t="s">
        <v>22</v>
      </c>
      <c r="X14" s="827" t="s">
        <v>22</v>
      </c>
      <c r="Y14" s="1741" t="s">
        <v>22</v>
      </c>
      <c r="Z14" s="827" t="s">
        <v>22</v>
      </c>
      <c r="AA14" s="1741" t="s">
        <v>22</v>
      </c>
      <c r="AB14" s="827" t="s">
        <v>22</v>
      </c>
      <c r="AC14" s="1741" t="s">
        <v>22</v>
      </c>
      <c r="AD14" s="827" t="s">
        <v>22</v>
      </c>
      <c r="AE14" s="1741" t="s">
        <v>22</v>
      </c>
      <c r="AF14" s="827" t="s">
        <v>22</v>
      </c>
      <c r="AG14" s="1741" t="s">
        <v>22</v>
      </c>
      <c r="AH14" s="827" t="s">
        <v>22</v>
      </c>
      <c r="AI14" s="1741" t="s">
        <v>22</v>
      </c>
      <c r="AJ14" s="827" t="s">
        <v>22</v>
      </c>
      <c r="AK14" s="1741" t="s">
        <v>22</v>
      </c>
      <c r="AL14" s="827" t="s">
        <v>22</v>
      </c>
      <c r="AM14" s="1741" t="s">
        <v>22</v>
      </c>
      <c r="AN14" s="827" t="s">
        <v>22</v>
      </c>
      <c r="AO14" s="1741" t="s">
        <v>22</v>
      </c>
      <c r="AP14" s="827" t="s">
        <v>22</v>
      </c>
      <c r="AQ14" s="1741" t="s">
        <v>22</v>
      </c>
      <c r="AR14" s="827" t="s">
        <v>22</v>
      </c>
      <c r="AS14" s="1741" t="s">
        <v>22</v>
      </c>
      <c r="AT14" s="827" t="s">
        <v>22</v>
      </c>
      <c r="AU14" s="1741" t="s">
        <v>22</v>
      </c>
      <c r="AV14" s="827" t="s">
        <v>22</v>
      </c>
      <c r="AW14" s="1741" t="s">
        <v>22</v>
      </c>
      <c r="AX14" s="827" t="s">
        <v>22</v>
      </c>
      <c r="AY14" s="1741" t="s">
        <v>22</v>
      </c>
      <c r="AZ14" s="827" t="s">
        <v>22</v>
      </c>
      <c r="BA14" s="1741" t="s">
        <v>22</v>
      </c>
      <c r="BB14" s="827" t="s">
        <v>22</v>
      </c>
      <c r="BC14" s="1741" t="s">
        <v>22</v>
      </c>
      <c r="BD14" s="827" t="s">
        <v>22</v>
      </c>
      <c r="BE14" s="1741" t="s">
        <v>22</v>
      </c>
      <c r="BF14" s="827" t="s">
        <v>22</v>
      </c>
      <c r="BG14" s="1741" t="s">
        <v>22</v>
      </c>
      <c r="BH14" s="827" t="s">
        <v>22</v>
      </c>
      <c r="BI14" s="1741" t="s">
        <v>22</v>
      </c>
      <c r="BJ14" s="827" t="s">
        <v>22</v>
      </c>
      <c r="BK14" s="1741" t="s">
        <v>22</v>
      </c>
      <c r="BL14" s="827" t="s">
        <v>22</v>
      </c>
      <c r="BM14" s="1741" t="s">
        <v>22</v>
      </c>
      <c r="BN14" s="827" t="s">
        <v>22</v>
      </c>
      <c r="BO14" s="1741" t="s">
        <v>22</v>
      </c>
      <c r="BP14" s="827" t="s">
        <v>22</v>
      </c>
      <c r="BQ14" s="1741" t="s">
        <v>22</v>
      </c>
      <c r="BR14" s="827" t="s">
        <v>22</v>
      </c>
      <c r="BS14" s="298" t="s">
        <v>1052</v>
      </c>
      <c r="CD14" s="514">
        <v>0</v>
      </c>
    </row>
    <row s="1375" customFormat="1" customHeight="1" ht="15" hidden="1">
      <c r="C15" s="681"/>
      <c r="K15" s="1375"/>
      <c r="L15" s="1375"/>
      <c r="M15" s="1375"/>
      <c r="N15" s="1375"/>
      <c r="O15" s="1375"/>
      <c r="P15" s="1375"/>
      <c r="Q15" s="1375"/>
      <c r="R15" s="1375"/>
      <c r="S15" s="1375"/>
      <c r="T15" s="1375"/>
      <c r="U15" s="1375"/>
      <c r="V15" s="1375"/>
      <c r="W15" s="1375"/>
      <c r="X15" s="1375"/>
      <c r="Y15" s="1375"/>
      <c r="Z15" s="1375"/>
      <c r="AA15" s="1375"/>
      <c r="AB15" s="1375"/>
      <c r="AC15" s="1375"/>
      <c r="AD15" s="1375"/>
      <c r="AE15" s="1375"/>
      <c r="AF15" s="1375"/>
      <c r="AG15" s="1375"/>
      <c r="AH15" s="1375"/>
      <c r="AI15" s="1375"/>
      <c r="AJ15" s="1375"/>
      <c r="AK15" s="1375"/>
      <c r="AL15" s="1375"/>
      <c r="AM15" s="1375"/>
      <c r="AN15" s="1375"/>
      <c r="AO15" s="1375"/>
      <c r="AP15" s="1375"/>
      <c r="AQ15" s="1375"/>
      <c r="AR15" s="1375"/>
      <c r="AS15" s="1375"/>
      <c r="AT15" s="1375"/>
      <c r="AU15" s="1375"/>
      <c r="AV15" s="1375"/>
      <c r="AW15" s="1375"/>
      <c r="AX15" s="1375"/>
      <c r="AY15" s="1375"/>
      <c r="AZ15" s="1375"/>
      <c r="BA15" s="1375"/>
      <c r="BB15" s="1375"/>
      <c r="BC15" s="1375"/>
      <c r="BD15" s="1375"/>
      <c r="BE15" s="1375"/>
      <c r="BF15" s="1375"/>
      <c r="BG15" s="1375"/>
      <c r="BH15" s="1375"/>
      <c r="BI15" s="1375"/>
      <c r="BJ15" s="1375"/>
      <c r="BK15" s="1375"/>
      <c r="BL15" s="1375"/>
      <c r="BM15" s="1375"/>
      <c r="BN15" s="1375"/>
      <c r="BO15" s="1375"/>
      <c r="BP15" s="1375"/>
      <c r="BQ15" s="1375"/>
      <c r="BR15" s="1375"/>
      <c r="CC15" s="429"/>
      <c r="CD15" s="426">
        <v>0</v>
      </c>
    </row>
    <row s="1375" customFormat="1" customHeight="1" ht="15" hidden="1">
      <c r="C16" s="681"/>
      <c r="K16" s="1375"/>
      <c r="L16" s="1375"/>
      <c r="M16" s="1375"/>
      <c r="N16" s="1375"/>
      <c r="O16" s="1375"/>
      <c r="P16" s="1375"/>
      <c r="Q16" s="1375"/>
      <c r="R16" s="1375"/>
      <c r="S16" s="1375"/>
      <c r="T16" s="1375"/>
      <c r="U16" s="1375"/>
      <c r="V16" s="1375"/>
      <c r="W16" s="1375"/>
      <c r="X16" s="1375"/>
      <c r="Y16" s="1375"/>
      <c r="Z16" s="1375"/>
      <c r="AA16" s="1375"/>
      <c r="AB16" s="1375"/>
      <c r="AC16" s="1375"/>
      <c r="AD16" s="1375"/>
      <c r="AE16" s="1375"/>
      <c r="AF16" s="1375"/>
      <c r="AG16" s="1375"/>
      <c r="AH16" s="1375"/>
      <c r="AI16" s="1375"/>
      <c r="AJ16" s="1375"/>
      <c r="AK16" s="1375"/>
      <c r="AL16" s="1375"/>
      <c r="AM16" s="1375"/>
      <c r="AN16" s="1375"/>
      <c r="AO16" s="1375"/>
      <c r="AP16" s="1375"/>
      <c r="AQ16" s="1375"/>
      <c r="AR16" s="1375"/>
      <c r="AS16" s="1375"/>
      <c r="AT16" s="1375"/>
      <c r="AU16" s="1375"/>
      <c r="AV16" s="1375"/>
      <c r="AW16" s="1375"/>
      <c r="AX16" s="1375"/>
      <c r="AY16" s="1375"/>
      <c r="AZ16" s="1375"/>
      <c r="BA16" s="1375"/>
      <c r="BB16" s="1375"/>
      <c r="BC16" s="1375"/>
      <c r="BD16" s="1375"/>
      <c r="BE16" s="1375"/>
      <c r="BF16" s="1375"/>
      <c r="BG16" s="1375"/>
      <c r="BH16" s="1375"/>
      <c r="BI16" s="1375"/>
      <c r="BJ16" s="1375"/>
      <c r="BK16" s="1375"/>
      <c r="BL16" s="1375"/>
      <c r="BM16" s="1375"/>
      <c r="BN16" s="1375"/>
      <c r="BO16" s="1375"/>
      <c r="BP16" s="1375"/>
      <c r="BQ16" s="1375"/>
      <c r="BR16" s="1375"/>
      <c r="CC16" s="429"/>
      <c r="CD16" s="426">
        <v>0</v>
      </c>
    </row>
    <row s="1375" customFormat="1" customHeight="1" ht="15" hidden="1">
      <c r="C17" s="681"/>
      <c r="K17" s="1375"/>
      <c r="L17" s="1375"/>
      <c r="M17" s="1375"/>
      <c r="N17" s="1375"/>
      <c r="O17" s="1375"/>
      <c r="P17" s="1375"/>
      <c r="Q17" s="1375"/>
      <c r="R17" s="1375"/>
      <c r="S17" s="1375"/>
      <c r="T17" s="1375"/>
      <c r="U17" s="1375"/>
      <c r="V17" s="1375"/>
      <c r="W17" s="1375"/>
      <c r="X17" s="1375"/>
      <c r="Y17" s="1375"/>
      <c r="Z17" s="1375"/>
      <c r="AA17" s="1375"/>
      <c r="AB17" s="1375"/>
      <c r="AC17" s="1375"/>
      <c r="AD17" s="1375"/>
      <c r="AE17" s="1375"/>
      <c r="AF17" s="1375"/>
      <c r="AG17" s="1375"/>
      <c r="AH17" s="1375"/>
      <c r="AI17" s="1375"/>
      <c r="AJ17" s="1375"/>
      <c r="AK17" s="1375"/>
      <c r="AL17" s="1375"/>
      <c r="AM17" s="1375"/>
      <c r="AN17" s="1375"/>
      <c r="AO17" s="1375"/>
      <c r="AP17" s="1375"/>
      <c r="AQ17" s="1375"/>
      <c r="AR17" s="1375"/>
      <c r="AS17" s="1375"/>
      <c r="AT17" s="1375"/>
      <c r="AU17" s="1375"/>
      <c r="AV17" s="1375"/>
      <c r="AW17" s="1375"/>
      <c r="AX17" s="1375"/>
      <c r="AY17" s="1375"/>
      <c r="AZ17" s="1375"/>
      <c r="BA17" s="1375"/>
      <c r="BB17" s="1375"/>
      <c r="BC17" s="1375"/>
      <c r="BD17" s="1375"/>
      <c r="BE17" s="1375"/>
      <c r="BF17" s="1375"/>
      <c r="BG17" s="1375"/>
      <c r="BH17" s="1375"/>
      <c r="BI17" s="1375"/>
      <c r="BJ17" s="1375"/>
      <c r="BK17" s="1375"/>
      <c r="BL17" s="1375"/>
      <c r="BM17" s="1375"/>
      <c r="BN17" s="1375"/>
      <c r="BO17" s="1375"/>
      <c r="BP17" s="1375"/>
      <c r="BQ17" s="1375"/>
      <c r="BR17" s="1375"/>
      <c r="CC17" s="429"/>
      <c r="CD17" s="426">
        <v>0</v>
      </c>
    </row>
    <row s="1375" customFormat="1" customHeight="1" ht="15" hidden="1">
      <c r="C18" s="681"/>
      <c r="K18" s="1375"/>
      <c r="L18" s="1375"/>
      <c r="M18" s="1375"/>
      <c r="N18" s="1375"/>
      <c r="O18" s="1375"/>
      <c r="P18" s="1375"/>
      <c r="Q18" s="1375"/>
      <c r="R18" s="1375"/>
      <c r="S18" s="1375"/>
      <c r="T18" s="1375"/>
      <c r="U18" s="1375"/>
      <c r="V18" s="1375"/>
      <c r="W18" s="1375"/>
      <c r="X18" s="1375"/>
      <c r="Y18" s="1375"/>
      <c r="Z18" s="1375"/>
      <c r="AA18" s="1375"/>
      <c r="AB18" s="1375"/>
      <c r="AC18" s="1375"/>
      <c r="AD18" s="1375"/>
      <c r="AE18" s="1375"/>
      <c r="AF18" s="1375"/>
      <c r="AG18" s="1375"/>
      <c r="AH18" s="1375"/>
      <c r="AI18" s="1375"/>
      <c r="AJ18" s="1375"/>
      <c r="AK18" s="1375"/>
      <c r="AL18" s="1375"/>
      <c r="AM18" s="1375"/>
      <c r="AN18" s="1375"/>
      <c r="AO18" s="1375"/>
      <c r="AP18" s="1375"/>
      <c r="AQ18" s="1375"/>
      <c r="AR18" s="1375"/>
      <c r="AS18" s="1375"/>
      <c r="AT18" s="1375"/>
      <c r="AU18" s="1375"/>
      <c r="AV18" s="1375"/>
      <c r="AW18" s="1375"/>
      <c r="AX18" s="1375"/>
      <c r="AY18" s="1375"/>
      <c r="AZ18" s="1375"/>
      <c r="BA18" s="1375"/>
      <c r="BB18" s="1375"/>
      <c r="BC18" s="1375"/>
      <c r="BD18" s="1375"/>
      <c r="BE18" s="1375"/>
      <c r="BF18" s="1375"/>
      <c r="BG18" s="1375"/>
      <c r="BH18" s="1375"/>
      <c r="BI18" s="1375"/>
      <c r="BJ18" s="1375"/>
      <c r="BK18" s="1375"/>
      <c r="BL18" s="1375"/>
      <c r="BM18" s="1375"/>
      <c r="BN18" s="1375"/>
      <c r="BO18" s="1375"/>
      <c r="BP18" s="1375"/>
      <c r="BQ18" s="1375"/>
      <c r="BR18" s="1375"/>
      <c r="CC18" s="429"/>
      <c r="CD18" s="426">
        <v>0</v>
      </c>
    </row>
    <row s="1375" customFormat="1" customHeight="1" ht="15" hidden="1">
      <c r="C19" s="681"/>
      <c r="K19" s="1375"/>
      <c r="L19" s="1375"/>
      <c r="M19" s="1375"/>
      <c r="N19" s="1375"/>
      <c r="O19" s="1375"/>
      <c r="P19" s="1375"/>
      <c r="Q19" s="1375"/>
      <c r="R19" s="1375"/>
      <c r="S19" s="1375"/>
      <c r="T19" s="1375"/>
      <c r="U19" s="1375"/>
      <c r="V19" s="1375"/>
      <c r="W19" s="1375"/>
      <c r="X19" s="1375"/>
      <c r="Y19" s="1375"/>
      <c r="Z19" s="1375"/>
      <c r="AA19" s="1375"/>
      <c r="AB19" s="1375"/>
      <c r="AC19" s="1375"/>
      <c r="AD19" s="1375"/>
      <c r="AE19" s="1375"/>
      <c r="AF19" s="1375"/>
      <c r="AG19" s="1375"/>
      <c r="AH19" s="1375"/>
      <c r="AI19" s="1375"/>
      <c r="AJ19" s="1375"/>
      <c r="AK19" s="1375"/>
      <c r="AL19" s="1375"/>
      <c r="AM19" s="1375"/>
      <c r="AN19" s="1375"/>
      <c r="AO19" s="1375"/>
      <c r="AP19" s="1375"/>
      <c r="AQ19" s="1375"/>
      <c r="AR19" s="1375"/>
      <c r="AS19" s="1375"/>
      <c r="AT19" s="1375"/>
      <c r="AU19" s="1375"/>
      <c r="AV19" s="1375"/>
      <c r="AW19" s="1375"/>
      <c r="AX19" s="1375"/>
      <c r="AY19" s="1375"/>
      <c r="AZ19" s="1375"/>
      <c r="BA19" s="1375"/>
      <c r="BB19" s="1375"/>
      <c r="BC19" s="1375"/>
      <c r="BD19" s="1375"/>
      <c r="BE19" s="1375"/>
      <c r="BF19" s="1375"/>
      <c r="BG19" s="1375"/>
      <c r="BH19" s="1375"/>
      <c r="BI19" s="1375"/>
      <c r="BJ19" s="1375"/>
      <c r="BK19" s="1375"/>
      <c r="BL19" s="1375"/>
      <c r="BM19" s="1375"/>
      <c r="BN19" s="1375"/>
      <c r="BO19" s="1375"/>
      <c r="BP19" s="1375"/>
      <c r="BQ19" s="1375"/>
      <c r="BR19" s="1375"/>
      <c r="CC19" s="429"/>
      <c r="CD19" s="426">
        <v>0</v>
      </c>
    </row>
    <row s="1375" customFormat="1" customHeight="1" ht="15" hidden="1">
      <c r="C20" s="681"/>
      <c r="K20" s="1375"/>
      <c r="L20" s="1375"/>
      <c r="M20" s="1375"/>
      <c r="N20" s="1375"/>
      <c r="O20" s="1375"/>
      <c r="P20" s="1375"/>
      <c r="Q20" s="1375"/>
      <c r="R20" s="1375"/>
      <c r="S20" s="1375"/>
      <c r="T20" s="1375"/>
      <c r="U20" s="1375"/>
      <c r="V20" s="1375"/>
      <c r="W20" s="1375"/>
      <c r="X20" s="1375"/>
      <c r="Y20" s="1375"/>
      <c r="Z20" s="1375"/>
      <c r="AA20" s="1375"/>
      <c r="AB20" s="1375"/>
      <c r="AC20" s="1375"/>
      <c r="AD20" s="1375"/>
      <c r="AE20" s="1375"/>
      <c r="AF20" s="1375"/>
      <c r="AG20" s="1375"/>
      <c r="AH20" s="1375"/>
      <c r="AI20" s="1375"/>
      <c r="AJ20" s="1375"/>
      <c r="AK20" s="1375"/>
      <c r="AL20" s="1375"/>
      <c r="AM20" s="1375"/>
      <c r="AN20" s="1375"/>
      <c r="AO20" s="1375"/>
      <c r="AP20" s="1375"/>
      <c r="AQ20" s="1375"/>
      <c r="AR20" s="1375"/>
      <c r="AS20" s="1375"/>
      <c r="AT20" s="1375"/>
      <c r="AU20" s="1375"/>
      <c r="AV20" s="1375"/>
      <c r="AW20" s="1375"/>
      <c r="AX20" s="1375"/>
      <c r="AY20" s="1375"/>
      <c r="AZ20" s="1375"/>
      <c r="BA20" s="1375"/>
      <c r="BB20" s="1375"/>
      <c r="BC20" s="1375"/>
      <c r="BD20" s="1375"/>
      <c r="BE20" s="1375"/>
      <c r="BF20" s="1375"/>
      <c r="BG20" s="1375"/>
      <c r="BH20" s="1375"/>
      <c r="BI20" s="1375"/>
      <c r="BJ20" s="1375"/>
      <c r="BK20" s="1375"/>
      <c r="BL20" s="1375"/>
      <c r="BM20" s="1375"/>
      <c r="BN20" s="1375"/>
      <c r="BO20" s="1375"/>
      <c r="BP20" s="1375"/>
      <c r="BQ20" s="1375"/>
      <c r="BR20" s="1375"/>
      <c r="CC20" s="429"/>
      <c r="CD20" s="426">
        <v>0</v>
      </c>
    </row>
    <row customHeight="1" ht="15.75">
      <c r="C21" s="185"/>
      <c r="D21" s="518"/>
      <c r="E21" s="518"/>
      <c r="F21" s="518"/>
      <c r="G21" s="518"/>
      <c r="H21" s="518"/>
      <c r="I21" s="518"/>
      <c r="J21" s="518"/>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644"/>
      <c r="AM21" s="1644"/>
      <c r="AN21" s="1644"/>
      <c r="AO21" s="1644"/>
      <c r="AP21" s="1644"/>
      <c r="AQ21" s="1644"/>
      <c r="AR21" s="1644"/>
      <c r="AS21" s="1644"/>
      <c r="AT21" s="1644"/>
      <c r="AU21" s="1644"/>
      <c r="AV21" s="1644"/>
      <c r="AW21" s="1644"/>
      <c r="AX21" s="1644"/>
      <c r="AY21" s="1644"/>
      <c r="AZ21" s="1644"/>
      <c r="BA21" s="1644"/>
      <c r="BB21" s="1644"/>
      <c r="BC21" s="1644"/>
      <c r="BD21" s="1644"/>
      <c r="BE21" s="1644"/>
      <c r="BF21" s="1644"/>
      <c r="BG21" s="1644"/>
      <c r="BH21" s="1644"/>
      <c r="BI21" s="1644"/>
      <c r="BJ21" s="1644"/>
      <c r="BK21" s="1644"/>
      <c r="BL21" s="1644"/>
      <c r="BM21" s="1644"/>
      <c r="BN21" s="1644"/>
      <c r="BO21" s="1644"/>
      <c r="BP21" s="1644"/>
      <c r="BQ21" s="1644"/>
      <c r="BR21" s="1644"/>
      <c r="CD21" s="514">
        <v>15</v>
      </c>
    </row>
    <row customHeight="1" ht="23.25">
      <c r="C22" s="185"/>
      <c r="D22" s="224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6"/>
      <c r="F22" s="2246"/>
      <c r="G22" s="2246"/>
      <c r="H22" s="2246"/>
      <c r="I22" s="2246"/>
      <c r="J22" s="685"/>
      <c r="K22" s="2257"/>
      <c r="L22" s="2257"/>
      <c r="M22" s="2257"/>
      <c r="N22" s="2257"/>
      <c r="O22" s="2257"/>
      <c r="P22" s="2257"/>
      <c r="Q22" s="2257"/>
      <c r="R22" s="2257"/>
      <c r="S22" s="2257"/>
      <c r="T22" s="2257"/>
      <c r="U22" s="2257"/>
      <c r="V22" s="2257"/>
      <c r="W22" s="2257"/>
      <c r="X22" s="2257"/>
      <c r="Y22" s="2257"/>
      <c r="Z22" s="2257"/>
      <c r="AA22" s="2257"/>
      <c r="AB22" s="2257"/>
      <c r="AC22" s="2257"/>
      <c r="AD22" s="2257"/>
      <c r="AE22" s="2257"/>
      <c r="AF22" s="2257"/>
      <c r="AG22" s="2257"/>
      <c r="AH22" s="2257"/>
      <c r="AI22" s="2257"/>
      <c r="AJ22" s="2257"/>
      <c r="AK22" s="2257"/>
      <c r="AL22" s="2257"/>
      <c r="AM22" s="2257"/>
      <c r="AN22" s="2257"/>
      <c r="AO22" s="2257"/>
      <c r="AP22" s="2257"/>
      <c r="AQ22" s="2257"/>
      <c r="AR22" s="2257"/>
      <c r="AS22" s="2257"/>
      <c r="AT22" s="2257"/>
      <c r="AU22" s="2257"/>
      <c r="AV22" s="2257"/>
      <c r="AW22" s="2257"/>
      <c r="AX22" s="2257"/>
      <c r="AY22" s="2257"/>
      <c r="AZ22" s="2257"/>
      <c r="BA22" s="2257"/>
      <c r="BB22" s="2257"/>
      <c r="BC22" s="2257"/>
      <c r="BD22" s="2257"/>
      <c r="BE22" s="2257"/>
      <c r="BF22" s="2257"/>
      <c r="BG22" s="2257"/>
      <c r="BH22" s="2257"/>
      <c r="BI22" s="2257"/>
      <c r="BJ22" s="2257"/>
      <c r="BK22" s="2257"/>
      <c r="BL22" s="2257"/>
      <c r="BM22" s="2257"/>
      <c r="BN22" s="2257"/>
      <c r="BO22" s="2257"/>
      <c r="BP22" s="2257"/>
      <c r="BQ22" s="2257"/>
      <c r="BR22" s="2257"/>
      <c r="BS22" s="546"/>
      <c r="CD22" s="514">
        <v>22</v>
      </c>
    </row>
    <row customHeight="1" ht="15.75">
      <c r="C23" s="185"/>
      <c r="D23" s="2185" t="str">
        <f>IF(org=0,"Не определено",org)</f>
        <v>ООО "СамРЭК-Тепло Жигулевск"</v>
      </c>
      <c r="E23" s="2185"/>
      <c r="F23" s="2185"/>
      <c r="G23" s="2185"/>
      <c r="H23" s="2185"/>
      <c r="I23" s="2185"/>
      <c r="J23" s="685"/>
      <c r="K23" s="2258"/>
      <c r="L23" s="2258"/>
      <c r="M23" s="2258"/>
      <c r="N23" s="2258"/>
      <c r="O23" s="2258"/>
      <c r="P23" s="2258"/>
      <c r="Q23" s="2258"/>
      <c r="R23" s="2258"/>
      <c r="S23" s="2258"/>
      <c r="T23" s="2258"/>
      <c r="U23" s="2258"/>
      <c r="V23" s="2258"/>
      <c r="W23" s="2258"/>
      <c r="X23" s="2258"/>
      <c r="Y23" s="2258"/>
      <c r="Z23" s="2258"/>
      <c r="AA23" s="2258"/>
      <c r="AB23" s="2258"/>
      <c r="AC23" s="2258"/>
      <c r="AD23" s="2258"/>
      <c r="AE23" s="2258"/>
      <c r="AF23" s="2258"/>
      <c r="AG23" s="2258"/>
      <c r="AH23" s="2258"/>
      <c r="AI23" s="2258"/>
      <c r="AJ23" s="2258"/>
      <c r="AK23" s="2258"/>
      <c r="AL23" s="2258"/>
      <c r="AM23" s="2258"/>
      <c r="AN23" s="2258"/>
      <c r="AO23" s="2258"/>
      <c r="AP23" s="2258"/>
      <c r="AQ23" s="2258"/>
      <c r="AR23" s="2258"/>
      <c r="AS23" s="2258"/>
      <c r="AT23" s="2258"/>
      <c r="AU23" s="2258"/>
      <c r="AV23" s="2258"/>
      <c r="AW23" s="2258"/>
      <c r="AX23" s="2258"/>
      <c r="AY23" s="2258"/>
      <c r="AZ23" s="2258"/>
      <c r="BA23" s="2258"/>
      <c r="BB23" s="2258"/>
      <c r="BC23" s="2258"/>
      <c r="BD23" s="2258"/>
      <c r="BE23" s="2258"/>
      <c r="BF23" s="2258"/>
      <c r="BG23" s="2258"/>
      <c r="BH23" s="2258"/>
      <c r="BI23" s="2258"/>
      <c r="BJ23" s="2258"/>
      <c r="BK23" s="2258"/>
      <c r="BL23" s="2258"/>
      <c r="BM23" s="2258"/>
      <c r="BN23" s="2258"/>
      <c r="BO23" s="2258"/>
      <c r="BP23" s="2258"/>
      <c r="BQ23" s="2258"/>
      <c r="BR23" s="2258"/>
      <c r="BS23" s="546"/>
      <c r="CD23" s="514">
        <v>15</v>
      </c>
    </row>
    <row customHeight="1" ht="15.75">
      <c r="C24" s="185"/>
      <c r="D24" s="518"/>
      <c r="E24" s="518"/>
      <c r="F24" s="518"/>
      <c r="G24" s="546">
        <v>22</v>
      </c>
      <c r="H24" s="761"/>
      <c r="I24" s="546">
        <v>22</v>
      </c>
      <c r="J24" s="761"/>
      <c r="K24" s="1375" t="s">
        <v>22</v>
      </c>
      <c r="L24" s="761"/>
      <c r="M24" s="1375" t="s">
        <v>22</v>
      </c>
      <c r="N24" s="761"/>
      <c r="O24" s="1375" t="s">
        <v>22</v>
      </c>
      <c r="P24" s="761"/>
      <c r="Q24" s="1375" t="s">
        <v>22</v>
      </c>
      <c r="R24" s="761"/>
      <c r="S24" s="1375" t="s">
        <v>22</v>
      </c>
      <c r="T24" s="761"/>
      <c r="U24" s="1375" t="s">
        <v>22</v>
      </c>
      <c r="V24" s="761"/>
      <c r="W24" s="1375" t="s">
        <v>22</v>
      </c>
      <c r="X24" s="761"/>
      <c r="Y24" s="1375" t="s">
        <v>22</v>
      </c>
      <c r="Z24" s="761"/>
      <c r="AA24" s="1375" t="s">
        <v>22</v>
      </c>
      <c r="AB24" s="761"/>
      <c r="AC24" s="1375" t="s">
        <v>22</v>
      </c>
      <c r="AD24" s="761"/>
      <c r="AE24" s="1375" t="s">
        <v>22</v>
      </c>
      <c r="AF24" s="761"/>
      <c r="AG24" s="1375" t="s">
        <v>22</v>
      </c>
      <c r="AH24" s="761"/>
      <c r="AI24" s="1375" t="s">
        <v>22</v>
      </c>
      <c r="AJ24" s="761"/>
      <c r="AK24" s="1375" t="s">
        <v>22</v>
      </c>
      <c r="AL24" s="761"/>
      <c r="AM24" s="1375" t="s">
        <v>22</v>
      </c>
      <c r="AN24" s="761"/>
      <c r="AO24" s="1375" t="s">
        <v>22</v>
      </c>
      <c r="AP24" s="761"/>
      <c r="AQ24" s="1375" t="s">
        <v>22</v>
      </c>
      <c r="AR24" s="761"/>
      <c r="AS24" s="1375" t="s">
        <v>22</v>
      </c>
      <c r="AT24" s="761"/>
      <c r="AU24" s="1375" t="s">
        <v>22</v>
      </c>
      <c r="AV24" s="761"/>
      <c r="AW24" s="1375" t="s">
        <v>22</v>
      </c>
      <c r="AX24" s="761"/>
      <c r="AY24" s="1375" t="s">
        <v>22</v>
      </c>
      <c r="AZ24" s="761"/>
      <c r="BA24" s="1375" t="s">
        <v>22</v>
      </c>
      <c r="BB24" s="761"/>
      <c r="BC24" s="1375" t="s">
        <v>22</v>
      </c>
      <c r="BD24" s="761"/>
      <c r="BE24" s="1375" t="s">
        <v>22</v>
      </c>
      <c r="BF24" s="761"/>
      <c r="BG24" s="1375" t="s">
        <v>22</v>
      </c>
      <c r="BH24" s="761"/>
      <c r="BI24" s="1375" t="s">
        <v>22</v>
      </c>
      <c r="BJ24" s="761"/>
      <c r="BK24" s="1375" t="s">
        <v>22</v>
      </c>
      <c r="BL24" s="761"/>
      <c r="BM24" s="1375" t="s">
        <v>22</v>
      </c>
      <c r="BN24" s="761"/>
      <c r="BO24" s="1375" t="s">
        <v>22</v>
      </c>
      <c r="BP24" s="761"/>
      <c r="BQ24" s="1375" t="s">
        <v>22</v>
      </c>
      <c r="BR24" s="761"/>
      <c r="CD24" s="514">
        <v>15</v>
      </c>
    </row>
    <row s="1644" customFormat="1" customHeight="1" ht="1.05">
      <c r="A25" s="768"/>
      <c r="C25" s="185"/>
      <c r="D25" s="518"/>
      <c r="E25" s="518"/>
      <c r="F25" s="518"/>
      <c r="G25" s="546"/>
      <c r="H25" s="761"/>
      <c r="I25" s="546" t="s">
        <v>118</v>
      </c>
      <c r="J25" s="761"/>
      <c r="K25" s="1375" t="s">
        <v>123</v>
      </c>
      <c r="L25" s="761"/>
      <c r="M25" s="1375" t="s">
        <v>125</v>
      </c>
      <c r="N25" s="761"/>
      <c r="O25" s="1375" t="s">
        <v>127</v>
      </c>
      <c r="P25" s="761"/>
      <c r="Q25" s="1375" t="s">
        <v>129</v>
      </c>
      <c r="R25" s="761"/>
      <c r="S25" s="1375" t="s">
        <v>131</v>
      </c>
      <c r="T25" s="761"/>
      <c r="U25" s="1375" t="s">
        <v>133</v>
      </c>
      <c r="V25" s="761"/>
      <c r="W25" s="1375" t="s">
        <v>135</v>
      </c>
      <c r="X25" s="761"/>
      <c r="Y25" s="1375" t="s">
        <v>138</v>
      </c>
      <c r="Z25" s="761"/>
      <c r="AA25" s="1375" t="s">
        <v>141</v>
      </c>
      <c r="AB25" s="761"/>
      <c r="AC25" s="1375" t="s">
        <v>144</v>
      </c>
      <c r="AD25" s="761"/>
      <c r="AE25" s="1375" t="s">
        <v>147</v>
      </c>
      <c r="AF25" s="761"/>
      <c r="AG25" s="1375" t="s">
        <v>150</v>
      </c>
      <c r="AH25" s="761"/>
      <c r="AI25" s="1375" t="s">
        <v>153</v>
      </c>
      <c r="AJ25" s="761"/>
      <c r="AK25" s="1375" t="s">
        <v>156</v>
      </c>
      <c r="AL25" s="761"/>
      <c r="AM25" s="1375" t="s">
        <v>159</v>
      </c>
      <c r="AN25" s="761"/>
      <c r="AO25" s="1375" t="s">
        <v>162</v>
      </c>
      <c r="AP25" s="761"/>
      <c r="AQ25" s="1375" t="s">
        <v>165</v>
      </c>
      <c r="AR25" s="761"/>
      <c r="AS25" s="1375" t="s">
        <v>168</v>
      </c>
      <c r="AT25" s="761"/>
      <c r="AU25" s="1375" t="s">
        <v>171</v>
      </c>
      <c r="AV25" s="761"/>
      <c r="AW25" s="1375" t="s">
        <v>174</v>
      </c>
      <c r="AX25" s="761"/>
      <c r="AY25" s="1375" t="s">
        <v>177</v>
      </c>
      <c r="AZ25" s="761"/>
      <c r="BA25" s="1375" t="s">
        <v>180</v>
      </c>
      <c r="BB25" s="761"/>
      <c r="BC25" s="1375" t="s">
        <v>183</v>
      </c>
      <c r="BD25" s="761"/>
      <c r="BE25" s="1375" t="s">
        <v>186</v>
      </c>
      <c r="BF25" s="761"/>
      <c r="BG25" s="1375" t="s">
        <v>189</v>
      </c>
      <c r="BH25" s="761"/>
      <c r="BI25" s="1375" t="s">
        <v>192</v>
      </c>
      <c r="BJ25" s="761"/>
      <c r="BK25" s="1375" t="s">
        <v>195</v>
      </c>
      <c r="BL25" s="761"/>
      <c r="BM25" s="1375" t="s">
        <v>198</v>
      </c>
      <c r="BN25" s="761"/>
      <c r="BO25" s="1375" t="s">
        <v>200</v>
      </c>
      <c r="BP25" s="761"/>
      <c r="BQ25" s="1375" t="s">
        <v>201</v>
      </c>
      <c r="BR25" s="761"/>
      <c r="BS25" s="426"/>
      <c r="CC25" s="684"/>
      <c r="CD25" s="767">
        <v>1</v>
      </c>
    </row>
    <row customHeight="1" ht="15.75">
      <c r="C26" s="185"/>
      <c r="D26" s="720"/>
      <c r="E26" s="2376" t="s">
        <v>105</v>
      </c>
      <c r="F26" s="2377"/>
      <c r="G26" s="2404" t="str">
        <f>IF(G25="","",INDEX(DIFFERENTIATION_UNMERGE_VD,MATCH(G25,DIFFERENTIATION_ID_DIFF,0)))</f>
        <v/>
      </c>
      <c r="H26" s="2405"/>
      <c r="I26" s="2404" t="str">
        <f>IF(I25="","",INDEX(DIFFERENTIATION_UNMERGE_VD,MATCH(I25,DIFFERENTIATION_ID_DIFF,0)))</f>
        <v>Производство тепловой энергии. Некомбинированная выработка</v>
      </c>
      <c r="J26" s="2405"/>
      <c r="K26" s="2404" t="str">
        <f>IF(K25="","",INDEX(DIFFERENTIATION_UNMERGE_VD,MATCH(K25,DIFFERENTIATION_ID_DIFF,0)))</f>
        <v>Производство тепловой энергии. Некомбинированная выработка</v>
      </c>
      <c r="L26" s="2405"/>
      <c r="M26" s="2404" t="str">
        <f>IF(M25="","",INDEX(DIFFERENTIATION_UNMERGE_VD,MATCH(M25,DIFFERENTIATION_ID_DIFF,0)))</f>
        <v>Производство тепловой энергии. Некомбинированная выработка</v>
      </c>
      <c r="N26" s="2405"/>
      <c r="O26" s="2404" t="str">
        <f>IF(O25="","",INDEX(DIFFERENTIATION_UNMERGE_VD,MATCH(O25,DIFFERENTIATION_ID_DIFF,0)))</f>
        <v>Производство тепловой энергии. Некомбинированная выработка</v>
      </c>
      <c r="P26" s="2405"/>
      <c r="Q26" s="2404" t="str">
        <f>IF(Q25="","",INDEX(DIFFERENTIATION_UNMERGE_VD,MATCH(Q25,DIFFERENTIATION_ID_DIFF,0)))</f>
        <v>Производство тепловой энергии. Некомбинированная выработка</v>
      </c>
      <c r="R26" s="2405"/>
      <c r="S26" s="2404" t="str">
        <f>IF(S25="","",INDEX(DIFFERENTIATION_UNMERGE_VD,MATCH(S25,DIFFERENTIATION_ID_DIFF,0)))</f>
        <v>Производство тепловой энергии. Некомбинированная выработка</v>
      </c>
      <c r="T26" s="2405"/>
      <c r="U26" s="2404" t="str">
        <f>IF(U25="","",INDEX(DIFFERENTIATION_UNMERGE_VD,MATCH(U25,DIFFERENTIATION_ID_DIFF,0)))</f>
        <v>Производство тепловой энергии. Некомбинированная выработка</v>
      </c>
      <c r="V26" s="2405"/>
      <c r="W26" s="2404" t="str">
        <f>IF(W25="","",INDEX(DIFFERENTIATION_UNMERGE_VD,MATCH(W25,DIFFERENTIATION_ID_DIFF,0)))</f>
        <v>Производство тепловой энергии. Некомбинированная выработка</v>
      </c>
      <c r="X26" s="2405"/>
      <c r="Y26" s="2404" t="str">
        <f>IF(Y25="","",INDEX(DIFFERENTIATION_UNMERGE_VD,MATCH(Y25,DIFFERENTIATION_ID_DIFF,0)))</f>
        <v>Производство тепловой энергии. Некомбинированная выработка</v>
      </c>
      <c r="Z26" s="2405"/>
      <c r="AA26" s="2404" t="str">
        <f>IF(AA25="","",INDEX(DIFFERENTIATION_UNMERGE_VD,MATCH(AA25,DIFFERENTIATION_ID_DIFF,0)))</f>
        <v>Производство тепловой энергии. Некомбинированная выработка</v>
      </c>
      <c r="AB26" s="2405"/>
      <c r="AC26" s="2404" t="str">
        <f>IF(AC25="","",INDEX(DIFFERENTIATION_UNMERGE_VD,MATCH(AC25,DIFFERENTIATION_ID_DIFF,0)))</f>
        <v>Производство тепловой энергии. Некомбинированная выработка</v>
      </c>
      <c r="AD26" s="2405"/>
      <c r="AE26" s="2404" t="str">
        <f>IF(AE25="","",INDEX(DIFFERENTIATION_UNMERGE_VD,MATCH(AE25,DIFFERENTIATION_ID_DIFF,0)))</f>
        <v>Производство тепловой энергии. Некомбинированная выработка</v>
      </c>
      <c r="AF26" s="2405"/>
      <c r="AG26" s="2404" t="str">
        <f>IF(AG25="","",INDEX(DIFFERENTIATION_UNMERGE_VD,MATCH(AG25,DIFFERENTIATION_ID_DIFF,0)))</f>
        <v>Производство тепловой энергии. Некомбинированная выработка</v>
      </c>
      <c r="AH26" s="2405"/>
      <c r="AI26" s="2404" t="str">
        <f>IF(AI25="","",INDEX(DIFFERENTIATION_UNMERGE_VD,MATCH(AI25,DIFFERENTIATION_ID_DIFF,0)))</f>
        <v>Производство тепловой энергии. Некомбинированная выработка</v>
      </c>
      <c r="AJ26" s="2405"/>
      <c r="AK26" s="2404" t="str">
        <f>IF(AK25="","",INDEX(DIFFERENTIATION_UNMERGE_VD,MATCH(AK25,DIFFERENTIATION_ID_DIFF,0)))</f>
        <v>Производство тепловой энергии. Некомбинированная выработка</v>
      </c>
      <c r="AL26" s="2405"/>
      <c r="AM26" s="2404" t="str">
        <f>IF(AM25="","",INDEX(DIFFERENTIATION_UNMERGE_VD,MATCH(AM25,DIFFERENTIATION_ID_DIFF,0)))</f>
        <v>Производство тепловой энергии. Некомбинированная выработка</v>
      </c>
      <c r="AN26" s="2405"/>
      <c r="AO26" s="2404" t="str">
        <f>IF(AO25="","",INDEX(DIFFERENTIATION_UNMERGE_VD,MATCH(AO25,DIFFERENTIATION_ID_DIFF,0)))</f>
        <v>Производство тепловой энергии. Некомбинированная выработка</v>
      </c>
      <c r="AP26" s="2405"/>
      <c r="AQ26" s="2404" t="str">
        <f>IF(AQ25="","",INDEX(DIFFERENTIATION_UNMERGE_VD,MATCH(AQ25,DIFFERENTIATION_ID_DIFF,0)))</f>
        <v>Производство тепловой энергии. Некомбинированная выработка</v>
      </c>
      <c r="AR26" s="2405"/>
      <c r="AS26" s="2404" t="str">
        <f>IF(AS25="","",INDEX(DIFFERENTIATION_UNMERGE_VD,MATCH(AS25,DIFFERENTIATION_ID_DIFF,0)))</f>
        <v>Производство тепловой энергии. Некомбинированная выработка</v>
      </c>
      <c r="AT26" s="2405"/>
      <c r="AU26" s="2404" t="str">
        <f>IF(AU25="","",INDEX(DIFFERENTIATION_UNMERGE_VD,MATCH(AU25,DIFFERENTIATION_ID_DIFF,0)))</f>
        <v>Производство тепловой энергии. Некомбинированная выработка</v>
      </c>
      <c r="AV26" s="2405"/>
      <c r="AW26" s="2404" t="str">
        <f>IF(AW25="","",INDEX(DIFFERENTIATION_UNMERGE_VD,MATCH(AW25,DIFFERENTIATION_ID_DIFF,0)))</f>
        <v>Производство тепловой энергии. Некомбинированная выработка</v>
      </c>
      <c r="AX26" s="2405"/>
      <c r="AY26" s="2404" t="str">
        <f>IF(AY25="","",INDEX(DIFFERENTIATION_UNMERGE_VD,MATCH(AY25,DIFFERENTIATION_ID_DIFF,0)))</f>
        <v>Производство тепловой энергии. Некомбинированная выработка</v>
      </c>
      <c r="AZ26" s="2405"/>
      <c r="BA26" s="2404" t="str">
        <f>IF(BA25="","",INDEX(DIFFERENTIATION_UNMERGE_VD,MATCH(BA25,DIFFERENTIATION_ID_DIFF,0)))</f>
        <v>Производство тепловой энергии. Некомбинированная выработка</v>
      </c>
      <c r="BB26" s="2405"/>
      <c r="BC26" s="2404" t="str">
        <f>IF(BC25="","",INDEX(DIFFERENTIATION_UNMERGE_VD,MATCH(BC25,DIFFERENTIATION_ID_DIFF,0)))</f>
        <v>Производство тепловой энергии. Некомбинированная выработка</v>
      </c>
      <c r="BD26" s="2405"/>
      <c r="BE26" s="2404" t="str">
        <f>IF(BE25="","",INDEX(DIFFERENTIATION_UNMERGE_VD,MATCH(BE25,DIFFERENTIATION_ID_DIFF,0)))</f>
        <v>Производство тепловой энергии. Некомбинированная выработка</v>
      </c>
      <c r="BF26" s="2405"/>
      <c r="BG26" s="2404" t="str">
        <f>IF(BG25="","",INDEX(DIFFERENTIATION_UNMERGE_VD,MATCH(BG25,DIFFERENTIATION_ID_DIFF,0)))</f>
        <v>Производство тепловой энергии. Некомбинированная выработка</v>
      </c>
      <c r="BH26" s="2405"/>
      <c r="BI26" s="2404" t="str">
        <f>IF(BI25="","",INDEX(DIFFERENTIATION_UNMERGE_VD,MATCH(BI25,DIFFERENTIATION_ID_DIFF,0)))</f>
        <v>Производство тепловой энергии. Некомбинированная выработка</v>
      </c>
      <c r="BJ26" s="2405"/>
      <c r="BK26" s="2404" t="str">
        <f>IF(BK25="","",INDEX(DIFFERENTIATION_UNMERGE_VD,MATCH(BK25,DIFFERENTIATION_ID_DIFF,0)))</f>
        <v>Производство тепловой энергии. Некомбинированная выработка</v>
      </c>
      <c r="BL26" s="2405"/>
      <c r="BM26" s="2404" t="str">
        <f>IF(BM25="","",INDEX(DIFFERENTIATION_UNMERGE_VD,MATCH(BM25,DIFFERENTIATION_ID_DIFF,0)))</f>
        <v>Производство. Теплоноситель</v>
      </c>
      <c r="BN26" s="2405"/>
      <c r="BO26" s="2404" t="str">
        <f>IF(BO25="","",INDEX(DIFFERENTIATION_UNMERGE_VD,MATCH(BO25,DIFFERENTIATION_ID_DIFF,0)))</f>
        <v>Производство. Теплоноситель</v>
      </c>
      <c r="BP26" s="2405"/>
      <c r="BQ26" s="2404" t="str">
        <f>IF(BQ25="","",INDEX(DIFFERENTIATION_UNMERGE_VD,MATCH(BQ25,DIFFERENTIATION_ID_DIFF,0)))</f>
        <v>Производство. Теплоноситель</v>
      </c>
      <c r="BR26" s="2405"/>
      <c r="BS26" s="2184" t="s">
        <v>374</v>
      </c>
      <c r="CD26" s="514">
        <v>15</v>
      </c>
    </row>
    <row s="1644" customFormat="1" customHeight="1" ht="15.75">
      <c r="A27" s="768"/>
      <c r="C27" s="185"/>
      <c r="D27" s="720"/>
      <c r="E27" s="2376" t="s">
        <v>637</v>
      </c>
      <c r="F27" s="2377"/>
      <c r="G27" s="2404" t="str">
        <f>IF(G25="","",INDEX(DIFFERENTIATION_UNMERGE_AREA,MATCH(G25,DIFFERENTIATION_ID_DIFF,0)))</f>
        <v/>
      </c>
      <c r="H27" s="2405"/>
      <c r="I27" s="2404" t="str">
        <f>IF(I25="","",INDEX(DIFFERENTIATION_UNMERGE_AREA,MATCH(I25,DIFFERENTIATION_ID_DIFF,0)))</f>
        <v>Территория 1</v>
      </c>
      <c r="J27" s="2405"/>
      <c r="K27" s="2404" t="str">
        <f>IF(K25="","",INDEX(DIFFERENTIATION_UNMERGE_AREA,MATCH(K25,DIFFERENTIATION_ID_DIFF,0)))</f>
        <v>Территория 1</v>
      </c>
      <c r="L27" s="2405"/>
      <c r="M27" s="2404" t="str">
        <f>IF(M25="","",INDEX(DIFFERENTIATION_UNMERGE_AREA,MATCH(M25,DIFFERENTIATION_ID_DIFF,0)))</f>
        <v>Территория 1</v>
      </c>
      <c r="N27" s="2405"/>
      <c r="O27" s="2404" t="str">
        <f>IF(O25="","",INDEX(DIFFERENTIATION_UNMERGE_AREA,MATCH(O25,DIFFERENTIATION_ID_DIFF,0)))</f>
        <v>Территория 1</v>
      </c>
      <c r="P27" s="2405"/>
      <c r="Q27" s="2404" t="str">
        <f>IF(Q25="","",INDEX(DIFFERENTIATION_UNMERGE_AREA,MATCH(Q25,DIFFERENTIATION_ID_DIFF,0)))</f>
        <v>Территория 1</v>
      </c>
      <c r="R27" s="2405"/>
      <c r="S27" s="2404" t="str">
        <f>IF(S25="","",INDEX(DIFFERENTIATION_UNMERGE_AREA,MATCH(S25,DIFFERENTIATION_ID_DIFF,0)))</f>
        <v>Территория 1</v>
      </c>
      <c r="T27" s="2405"/>
      <c r="U27" s="2404" t="str">
        <f>IF(U25="","",INDEX(DIFFERENTIATION_UNMERGE_AREA,MATCH(U25,DIFFERENTIATION_ID_DIFF,0)))</f>
        <v>Территория 1</v>
      </c>
      <c r="V27" s="2405"/>
      <c r="W27" s="2404" t="str">
        <f>IF(W25="","",INDEX(DIFFERENTIATION_UNMERGE_AREA,MATCH(W25,DIFFERENTIATION_ID_DIFF,0)))</f>
        <v>Территория 1</v>
      </c>
      <c r="X27" s="2405"/>
      <c r="Y27" s="2404" t="str">
        <f>IF(Y25="","",INDEX(DIFFERENTIATION_UNMERGE_AREA,MATCH(Y25,DIFFERENTIATION_ID_DIFF,0)))</f>
        <v>Территория 1</v>
      </c>
      <c r="Z27" s="2405"/>
      <c r="AA27" s="2404" t="str">
        <f>IF(AA25="","",INDEX(DIFFERENTIATION_UNMERGE_AREA,MATCH(AA25,DIFFERENTIATION_ID_DIFF,0)))</f>
        <v>Территория 1</v>
      </c>
      <c r="AB27" s="2405"/>
      <c r="AC27" s="2404" t="str">
        <f>IF(AC25="","",INDEX(DIFFERENTIATION_UNMERGE_AREA,MATCH(AC25,DIFFERENTIATION_ID_DIFF,0)))</f>
        <v>Территория 1</v>
      </c>
      <c r="AD27" s="2405"/>
      <c r="AE27" s="2404" t="str">
        <f>IF(AE25="","",INDEX(DIFFERENTIATION_UNMERGE_AREA,MATCH(AE25,DIFFERENTIATION_ID_DIFF,0)))</f>
        <v>Территория 1</v>
      </c>
      <c r="AF27" s="2405"/>
      <c r="AG27" s="2404" t="str">
        <f>IF(AG25="","",INDEX(DIFFERENTIATION_UNMERGE_AREA,MATCH(AG25,DIFFERENTIATION_ID_DIFF,0)))</f>
        <v>Территория 1</v>
      </c>
      <c r="AH27" s="2405"/>
      <c r="AI27" s="2404" t="str">
        <f>IF(AI25="","",INDEX(DIFFERENTIATION_UNMERGE_AREA,MATCH(AI25,DIFFERENTIATION_ID_DIFF,0)))</f>
        <v>Территория 1</v>
      </c>
      <c r="AJ27" s="2405"/>
      <c r="AK27" s="2404" t="str">
        <f>IF(AK25="","",INDEX(DIFFERENTIATION_UNMERGE_AREA,MATCH(AK25,DIFFERENTIATION_ID_DIFF,0)))</f>
        <v>Территория 1</v>
      </c>
      <c r="AL27" s="2405"/>
      <c r="AM27" s="2404" t="str">
        <f>IF(AM25="","",INDEX(DIFFERENTIATION_UNMERGE_AREA,MATCH(AM25,DIFFERENTIATION_ID_DIFF,0)))</f>
        <v>Территория 1</v>
      </c>
      <c r="AN27" s="2405"/>
      <c r="AO27" s="2404" t="str">
        <f>IF(AO25="","",INDEX(DIFFERENTIATION_UNMERGE_AREA,MATCH(AO25,DIFFERENTIATION_ID_DIFF,0)))</f>
        <v>Территория 1</v>
      </c>
      <c r="AP27" s="2405"/>
      <c r="AQ27" s="2404" t="str">
        <f>IF(AQ25="","",INDEX(DIFFERENTIATION_UNMERGE_AREA,MATCH(AQ25,DIFFERENTIATION_ID_DIFF,0)))</f>
        <v>Территория 1</v>
      </c>
      <c r="AR27" s="2405"/>
      <c r="AS27" s="2404" t="str">
        <f>IF(AS25="","",INDEX(DIFFERENTIATION_UNMERGE_AREA,MATCH(AS25,DIFFERENTIATION_ID_DIFF,0)))</f>
        <v>Территория 1</v>
      </c>
      <c r="AT27" s="2405"/>
      <c r="AU27" s="2404" t="str">
        <f>IF(AU25="","",INDEX(DIFFERENTIATION_UNMERGE_AREA,MATCH(AU25,DIFFERENTIATION_ID_DIFF,0)))</f>
        <v>Территория 1</v>
      </c>
      <c r="AV27" s="2405"/>
      <c r="AW27" s="2404" t="str">
        <f>IF(AW25="","",INDEX(DIFFERENTIATION_UNMERGE_AREA,MATCH(AW25,DIFFERENTIATION_ID_DIFF,0)))</f>
        <v>Территория 1</v>
      </c>
      <c r="AX27" s="2405"/>
      <c r="AY27" s="2404" t="str">
        <f>IF(AY25="","",INDEX(DIFFERENTIATION_UNMERGE_AREA,MATCH(AY25,DIFFERENTIATION_ID_DIFF,0)))</f>
        <v>Территория 1</v>
      </c>
      <c r="AZ27" s="2405"/>
      <c r="BA27" s="2404" t="str">
        <f>IF(BA25="","",INDEX(DIFFERENTIATION_UNMERGE_AREA,MATCH(BA25,DIFFERENTIATION_ID_DIFF,0)))</f>
        <v>Территория 1</v>
      </c>
      <c r="BB27" s="2405"/>
      <c r="BC27" s="2404" t="str">
        <f>IF(BC25="","",INDEX(DIFFERENTIATION_UNMERGE_AREA,MATCH(BC25,DIFFERENTIATION_ID_DIFF,0)))</f>
        <v>Территория 1</v>
      </c>
      <c r="BD27" s="2405"/>
      <c r="BE27" s="2404" t="str">
        <f>IF(BE25="","",INDEX(DIFFERENTIATION_UNMERGE_AREA,MATCH(BE25,DIFFERENTIATION_ID_DIFF,0)))</f>
        <v>Территория 1</v>
      </c>
      <c r="BF27" s="2405"/>
      <c r="BG27" s="2404" t="str">
        <f>IF(BG25="","",INDEX(DIFFERENTIATION_UNMERGE_AREA,MATCH(BG25,DIFFERENTIATION_ID_DIFF,0)))</f>
        <v>Территория 1</v>
      </c>
      <c r="BH27" s="2405"/>
      <c r="BI27" s="2404" t="str">
        <f>IF(BI25="","",INDEX(DIFFERENTIATION_UNMERGE_AREA,MATCH(BI25,DIFFERENTIATION_ID_DIFF,0)))</f>
        <v>Территория 1</v>
      </c>
      <c r="BJ27" s="2405"/>
      <c r="BK27" s="2404" t="str">
        <f>IF(BK25="","",INDEX(DIFFERENTIATION_UNMERGE_AREA,MATCH(BK25,DIFFERENTIATION_ID_DIFF,0)))</f>
        <v>Территория 1</v>
      </c>
      <c r="BL27" s="2405"/>
      <c r="BM27" s="2404" t="str">
        <f>IF(BM25="","",INDEX(DIFFERENTIATION_UNMERGE_AREA,MATCH(BM25,DIFFERENTIATION_ID_DIFF,0)))</f>
        <v>Территория 1</v>
      </c>
      <c r="BN27" s="2405"/>
      <c r="BO27" s="2404" t="str">
        <f>IF(BO25="","",INDEX(DIFFERENTIATION_UNMERGE_AREA,MATCH(BO25,DIFFERENTIATION_ID_DIFF,0)))</f>
        <v>Территория 1</v>
      </c>
      <c r="BP27" s="2405"/>
      <c r="BQ27" s="2404" t="str">
        <f>IF(BQ25="","",INDEX(DIFFERENTIATION_UNMERGE_AREA,MATCH(BQ25,DIFFERENTIATION_ID_DIFF,0)))</f>
        <v>Территория 1</v>
      </c>
      <c r="BR27" s="2405"/>
      <c r="BS27" s="2204"/>
      <c r="CC27" s="684"/>
      <c r="CD27" s="767">
        <v>15</v>
      </c>
    </row>
    <row s="1644" customFormat="1" customHeight="1" ht="15.75">
      <c r="A28" s="768"/>
      <c r="C28" s="185"/>
      <c r="D28" s="720"/>
      <c r="E28" s="2376" t="s">
        <v>638</v>
      </c>
      <c r="F28" s="2377"/>
      <c r="G28" s="2404" t="str">
        <f>IF(G25="","",INDEX(DIFFERENTIATION_UNMERGE_SYSTEM,MATCH(G25,DIFFERENTIATION_ID_DIFF,0)))</f>
        <v/>
      </c>
      <c r="H28" s="2405"/>
      <c r="I28" s="2404" t="str">
        <f>IF(I25="","",INDEX(DIFFERENTIATION_UNMERGE_SYSTEM,MATCH(I25,DIFFERENTIATION_ID_DIFF,0)))</f>
        <v>Котельная №1 по ул.Ново-Самарская, д.12</v>
      </c>
      <c r="J28" s="2405"/>
      <c r="K28" s="2404" t="str">
        <f>IF(K25="","",INDEX(DIFFERENTIATION_UNMERGE_SYSTEM,MATCH(K25,DIFFERENTIATION_ID_DIFF,0)))</f>
        <v>Котельная №2,  ул.Пирогова около д.4</v>
      </c>
      <c r="L28" s="2405"/>
      <c r="M28" s="2404" t="str">
        <f>IF(M25="","",INDEX(DIFFERENTIATION_UNMERGE_SYSTEM,MATCH(M25,DIFFERENTIATION_ID_DIFF,0)))</f>
        <v>Котельная №3, ул.Комсомольская около д.1 по ул.Ленина</v>
      </c>
      <c r="N28" s="2405"/>
      <c r="O28" s="2404" t="str">
        <f>IF(O25="","",INDEX(DIFFERENTIATION_UNMERGE_SYSTEM,MATCH(O25,DIFFERENTIATION_ID_DIFF,0)))</f>
        <v>Тепловой центр №1 ул.Вокзальная ок д.№8</v>
      </c>
      <c r="P28" s="2405"/>
      <c r="Q28" s="2404" t="str">
        <f>IF(Q25="","",INDEX(DIFFERENTIATION_UNMERGE_SYSTEM,MATCH(Q25,DIFFERENTIATION_ID_DIFF,0)))</f>
        <v>Котельная №5, Александр. Поле, около д.30 по ул.Советская </v>
      </c>
      <c r="R28" s="2405"/>
      <c r="S28" s="2404" t="str">
        <f>IF(S25="","",INDEX(DIFFERENTIATION_UNMERGE_SYSTEM,MATCH(S25,DIFFERENTIATION_ID_DIFF,0)))</f>
        <v>Котельная №6, ул.Пушкина </v>
      </c>
      <c r="T28" s="2405"/>
      <c r="U28" s="2404" t="str">
        <f>IF(U25="","",INDEX(DIFFERENTIATION_UNMERGE_SYSTEM,MATCH(U25,DIFFERENTIATION_ID_DIFF,0)))</f>
        <v>Тепловой центр №2 ул.Вокзальная ок д.№20</v>
      </c>
      <c r="V28" s="2405"/>
      <c r="W28" s="2404" t="str">
        <f>IF(W25="","",INDEX(DIFFERENTIATION_UNMERGE_SYSTEM,MATCH(W25,DIFFERENTIATION_ID_DIFF,0)))</f>
        <v>Котельная №8, ул.Мира</v>
      </c>
      <c r="X28" s="2405"/>
      <c r="Y28" s="2404" t="str">
        <f>IF(Y25="","",INDEX(DIFFERENTIATION_UNMERGE_SYSTEM,MATCH(Y25,DIFFERENTIATION_ID_DIFF,0)))</f>
        <v>Котельная №9, ул.Гоголя</v>
      </c>
      <c r="Z28" s="2405"/>
      <c r="AA28" s="2404" t="str">
        <f>IF(AA25="","",INDEX(DIFFERENTIATION_UNMERGE_SYSTEM,MATCH(AA25,DIFFERENTIATION_ID_DIFF,0)))</f>
        <v>Котельная №10, ул.Гоголя</v>
      </c>
      <c r="AB28" s="2405"/>
      <c r="AC28" s="2404" t="str">
        <f>IF(AC25="","",INDEX(DIFFERENTIATION_UNMERGE_SYSTEM,MATCH(AC25,DIFFERENTIATION_ID_DIFF,0)))</f>
        <v>Котельная №12а, ул.Мира</v>
      </c>
      <c r="AD28" s="2405"/>
      <c r="AE28" s="2404" t="str">
        <f>IF(AE25="","",INDEX(DIFFERENTIATION_UNMERGE_SYSTEM,MATCH(AE25,DIFFERENTIATION_ID_DIFF,0)))</f>
        <v>Котельная №13, ул.Морквашинская</v>
      </c>
      <c r="AF28" s="2405"/>
      <c r="AG28" s="2404" t="str">
        <f>IF(AG25="","",INDEX(DIFFERENTIATION_UNMERGE_SYSTEM,MATCH(AG25,DIFFERENTIATION_ID_DIFF,0)))</f>
        <v>ЦТП-1 ул.Морквашинская ок.д№7</v>
      </c>
      <c r="AH28" s="2405"/>
      <c r="AI28" s="2404" t="str">
        <f>IF(AI25="","",INDEX(DIFFERENTIATION_UNMERGE_SYSTEM,MATCH(AI25,DIFFERENTIATION_ID_DIFF,0)))</f>
        <v>ЦТП-2, В-1,ок.д.№10</v>
      </c>
      <c r="AJ28" s="2405"/>
      <c r="AK28" s="2404" t="str">
        <f>IF(AK25="","",INDEX(DIFFERENTIATION_UNMERGE_SYSTEM,MATCH(AK25,DIFFERENTIATION_ID_DIFF,0)))</f>
        <v>ЦТП-9, ул.Пролетарская д.23/ул.Транспортная д.10</v>
      </c>
      <c r="AL28" s="2405"/>
      <c r="AM28" s="2404" t="str">
        <f>IF(AM25="","",INDEX(DIFFERENTIATION_UNMERGE_SYSTEM,MATCH(AM25,DIFFERENTIATION_ID_DIFF,0)))</f>
        <v>ПНС№1-  Пролет, 5</v>
      </c>
      <c r="AN28" s="2405"/>
      <c r="AO28" s="2404" t="str">
        <f>IF(AO25="","",INDEX(DIFFERENTIATION_UNMERGE_SYSTEM,MATCH(AO25,DIFFERENTIATION_ID_DIFF,0)))</f>
        <v>ПНС№2, ул.Репина,3</v>
      </c>
      <c r="AP28" s="2405"/>
      <c r="AQ28" s="2404" t="str">
        <f>IF(AQ25="","",INDEX(DIFFERENTIATION_UNMERGE_SYSTEM,MATCH(AQ25,DIFFERENTIATION_ID_DIFF,0)))</f>
        <v>Котельная №14, ул.Радиозаводская</v>
      </c>
      <c r="AR28" s="2405"/>
      <c r="AS28" s="2404" t="str">
        <f>IF(AS25="","",INDEX(DIFFERENTIATION_UNMERGE_SYSTEM,MATCH(AS25,DIFFERENTIATION_ID_DIFF,0)))</f>
        <v>ЦТП-3, ул.Радиозаводская,ок.д.№6</v>
      </c>
      <c r="AT28" s="2405"/>
      <c r="AU28" s="2404" t="str">
        <f>IF(AU25="","",INDEX(DIFFERENTIATION_UNMERGE_SYSTEM,MATCH(AU25,DIFFERENTIATION_ID_DIFF,0)))</f>
        <v>Котельная №17а с.Зольное , ул.Первомайская.</v>
      </c>
      <c r="AV28" s="2405"/>
      <c r="AW28" s="2404" t="str">
        <f>IF(AW25="","",INDEX(DIFFERENTIATION_UNMERGE_SYSTEM,MATCH(AW25,DIFFERENTIATION_ID_DIFF,0)))</f>
        <v>Котельная №18А, с.Солнечная Поляна, ул. 4-я Линия</v>
      </c>
      <c r="AX28" s="2405"/>
      <c r="AY28" s="2404" t="str">
        <f>IF(AY25="","",INDEX(DIFFERENTIATION_UNMERGE_SYSTEM,MATCH(AY25,DIFFERENTIATION_ID_DIFF,0)))</f>
        <v>Котельная №20,пос.Яблоневый Овраг , ул Никитина</v>
      </c>
      <c r="AZ28" s="2405"/>
      <c r="BA28" s="2404" t="str">
        <f>IF(BA25="","",INDEX(DIFFERENTIATION_UNMERGE_SYSTEM,MATCH(BA25,DIFFERENTIATION_ID_DIFF,0)))</f>
        <v>Котельная №22, ул.Магистральная</v>
      </c>
      <c r="BB28" s="2405"/>
      <c r="BC28" s="2404" t="str">
        <f>IF(BC25="","",INDEX(DIFFERENTIATION_UNMERGE_SYSTEM,MATCH(BC25,DIFFERENTIATION_ID_DIFF,0)))</f>
        <v>Котельная №25,  МКР Г-1, ул.Гидротехническая</v>
      </c>
      <c r="BD28" s="2405"/>
      <c r="BE28" s="2404" t="str">
        <f>IF(BE25="","",INDEX(DIFFERENTIATION_UNMERGE_SYSTEM,MATCH(BE25,DIFFERENTIATION_ID_DIFF,0)))</f>
        <v>ЦТП-7, ул.Оборонная</v>
      </c>
      <c r="BF28" s="2405"/>
      <c r="BG28" s="2404" t="str">
        <f>IF(BG25="","",INDEX(DIFFERENTIATION_UNMERGE_SYSTEM,MATCH(BG25,DIFFERENTIATION_ID_DIFF,0)))</f>
        <v>ЦТП-8, ул.Шевченко</v>
      </c>
      <c r="BH28" s="2405"/>
      <c r="BI28" s="2404" t="str">
        <f>IF(BI25="","",INDEX(DIFFERENTIATION_UNMERGE_SYSTEM,MATCH(BI25,DIFFERENTIATION_ID_DIFF,0)))</f>
        <v>ПНС, ул.Парковая</v>
      </c>
      <c r="BJ28" s="2405"/>
      <c r="BK28" s="2404" t="str">
        <f>IF(BK25="","",INDEX(DIFFERENTIATION_UNMERGE_SYSTEM,MATCH(BK25,DIFFERENTIATION_ID_DIFF,0)))</f>
        <v>Котельная №27, п.Богатырь, ул.Управленческая</v>
      </c>
      <c r="BL28" s="2405"/>
      <c r="BM28" s="2404" t="str">
        <f>IF(BM25="","",INDEX(DIFFERENTIATION_UNMERGE_SYSTEM,MATCH(BM25,DIFFERENTIATION_ID_DIFF,0)))</f>
        <v>Котельная №13, ул.Морквашинская</v>
      </c>
      <c r="BN28" s="2405"/>
      <c r="BO28" s="2404" t="str">
        <f>IF(BO25="","",INDEX(DIFFERENTIATION_UNMERGE_SYSTEM,MATCH(BO25,DIFFERENTIATION_ID_DIFF,0)))</f>
        <v>Котельная №14, ул.Радиозаводская</v>
      </c>
      <c r="BP28" s="2405"/>
      <c r="BQ28" s="2404" t="str">
        <f>IF(BQ25="","",INDEX(DIFFERENTIATION_UNMERGE_SYSTEM,MATCH(BQ25,DIFFERENTIATION_ID_DIFF,0)))</f>
        <v>Котельная №25,  МКР Г-1, ул.Гидротехническая</v>
      </c>
      <c r="BR28" s="2405"/>
      <c r="BS28" s="2204"/>
      <c r="CC28" s="684"/>
      <c r="CD28" s="767">
        <v>15</v>
      </c>
    </row>
    <row s="1644" customFormat="1" customHeight="1" ht="15.75">
      <c r="A29" s="768"/>
      <c r="C29" s="185"/>
      <c r="D29" s="2378" t="s">
        <v>373</v>
      </c>
      <c r="E29" s="2379"/>
      <c r="F29" s="2379"/>
      <c r="G29" s="896"/>
      <c r="H29" s="896"/>
      <c r="I29" s="896"/>
      <c r="J29" s="897"/>
      <c r="K29" s="2376"/>
      <c r="L29" s="2376"/>
      <c r="M29" s="2376"/>
      <c r="N29" s="2376"/>
      <c r="O29" s="2376"/>
      <c r="P29" s="2376"/>
      <c r="Q29" s="2376"/>
      <c r="R29" s="2376"/>
      <c r="S29" s="2376"/>
      <c r="T29" s="2376"/>
      <c r="U29" s="2376"/>
      <c r="V29" s="2376"/>
      <c r="W29" s="2376"/>
      <c r="X29" s="2376"/>
      <c r="Y29" s="2376"/>
      <c r="Z29" s="2376"/>
      <c r="AA29" s="2376"/>
      <c r="AB29" s="2376"/>
      <c r="AC29" s="2376"/>
      <c r="AD29" s="2376"/>
      <c r="AE29" s="2376"/>
      <c r="AF29" s="2376"/>
      <c r="AG29" s="2376"/>
      <c r="AH29" s="2376"/>
      <c r="AI29" s="2376"/>
      <c r="AJ29" s="2376"/>
      <c r="AK29" s="2376"/>
      <c r="AL29" s="2376"/>
      <c r="AM29" s="2376"/>
      <c r="AN29" s="2376"/>
      <c r="AO29" s="2376"/>
      <c r="AP29" s="2376"/>
      <c r="AQ29" s="2376"/>
      <c r="AR29" s="2376"/>
      <c r="AS29" s="2376"/>
      <c r="AT29" s="2376"/>
      <c r="AU29" s="2376"/>
      <c r="AV29" s="2376"/>
      <c r="AW29" s="2376"/>
      <c r="AX29" s="2376"/>
      <c r="AY29" s="2376"/>
      <c r="AZ29" s="2376"/>
      <c r="BA29" s="2376"/>
      <c r="BB29" s="2376"/>
      <c r="BC29" s="2376"/>
      <c r="BD29" s="2376"/>
      <c r="BE29" s="2376"/>
      <c r="BF29" s="2376"/>
      <c r="BG29" s="2376"/>
      <c r="BH29" s="2376"/>
      <c r="BI29" s="2376"/>
      <c r="BJ29" s="2376"/>
      <c r="BK29" s="2376"/>
      <c r="BL29" s="2376"/>
      <c r="BM29" s="2376"/>
      <c r="BN29" s="2376"/>
      <c r="BO29" s="2376"/>
      <c r="BP29" s="2376"/>
      <c r="BQ29" s="2376"/>
      <c r="BR29" s="2376"/>
      <c r="BS29" s="2204"/>
      <c r="CC29" s="684"/>
      <c r="CD29" s="767">
        <v>15</v>
      </c>
    </row>
    <row customHeight="1" ht="35.699999999999996">
      <c r="C30" s="185"/>
      <c r="D30" s="770" t="s">
        <v>88</v>
      </c>
      <c r="E30" s="769" t="s">
        <v>375</v>
      </c>
      <c r="F30" s="769" t="s">
        <v>639</v>
      </c>
      <c r="G30" s="817" t="s">
        <v>376</v>
      </c>
      <c r="H30" s="816" t="s">
        <v>463</v>
      </c>
      <c r="I30" s="693" t="s">
        <v>376</v>
      </c>
      <c r="J30" s="474" t="s">
        <v>463</v>
      </c>
      <c r="K30" s="2271" t="s">
        <v>376</v>
      </c>
      <c r="L30" s="2321" t="s">
        <v>463</v>
      </c>
      <c r="M30" s="2271" t="s">
        <v>376</v>
      </c>
      <c r="N30" s="2321" t="s">
        <v>463</v>
      </c>
      <c r="O30" s="2271" t="s">
        <v>376</v>
      </c>
      <c r="P30" s="2321" t="s">
        <v>463</v>
      </c>
      <c r="Q30" s="2271" t="s">
        <v>376</v>
      </c>
      <c r="R30" s="2321" t="s">
        <v>463</v>
      </c>
      <c r="S30" s="2271" t="s">
        <v>376</v>
      </c>
      <c r="T30" s="2321" t="s">
        <v>463</v>
      </c>
      <c r="U30" s="2271" t="s">
        <v>376</v>
      </c>
      <c r="V30" s="2321" t="s">
        <v>463</v>
      </c>
      <c r="W30" s="2271" t="s">
        <v>376</v>
      </c>
      <c r="X30" s="2321" t="s">
        <v>463</v>
      </c>
      <c r="Y30" s="2271" t="s">
        <v>376</v>
      </c>
      <c r="Z30" s="2321" t="s">
        <v>463</v>
      </c>
      <c r="AA30" s="2271" t="s">
        <v>376</v>
      </c>
      <c r="AB30" s="2321" t="s">
        <v>463</v>
      </c>
      <c r="AC30" s="2271" t="s">
        <v>376</v>
      </c>
      <c r="AD30" s="2321" t="s">
        <v>463</v>
      </c>
      <c r="AE30" s="2271" t="s">
        <v>376</v>
      </c>
      <c r="AF30" s="2321" t="s">
        <v>463</v>
      </c>
      <c r="AG30" s="2271" t="s">
        <v>376</v>
      </c>
      <c r="AH30" s="2321" t="s">
        <v>463</v>
      </c>
      <c r="AI30" s="2271" t="s">
        <v>376</v>
      </c>
      <c r="AJ30" s="2321" t="s">
        <v>463</v>
      </c>
      <c r="AK30" s="2271" t="s">
        <v>376</v>
      </c>
      <c r="AL30" s="2321" t="s">
        <v>463</v>
      </c>
      <c r="AM30" s="2271" t="s">
        <v>376</v>
      </c>
      <c r="AN30" s="2321" t="s">
        <v>463</v>
      </c>
      <c r="AO30" s="2271" t="s">
        <v>376</v>
      </c>
      <c r="AP30" s="2321" t="s">
        <v>463</v>
      </c>
      <c r="AQ30" s="2271" t="s">
        <v>376</v>
      </c>
      <c r="AR30" s="2321" t="s">
        <v>463</v>
      </c>
      <c r="AS30" s="2271" t="s">
        <v>376</v>
      </c>
      <c r="AT30" s="2321" t="s">
        <v>463</v>
      </c>
      <c r="AU30" s="2271" t="s">
        <v>376</v>
      </c>
      <c r="AV30" s="2321" t="s">
        <v>463</v>
      </c>
      <c r="AW30" s="2271" t="s">
        <v>376</v>
      </c>
      <c r="AX30" s="2321" t="s">
        <v>463</v>
      </c>
      <c r="AY30" s="2271" t="s">
        <v>376</v>
      </c>
      <c r="AZ30" s="2321" t="s">
        <v>463</v>
      </c>
      <c r="BA30" s="2271" t="s">
        <v>376</v>
      </c>
      <c r="BB30" s="2321" t="s">
        <v>463</v>
      </c>
      <c r="BC30" s="2271" t="s">
        <v>376</v>
      </c>
      <c r="BD30" s="2321" t="s">
        <v>463</v>
      </c>
      <c r="BE30" s="2271" t="s">
        <v>376</v>
      </c>
      <c r="BF30" s="2321" t="s">
        <v>463</v>
      </c>
      <c r="BG30" s="2271" t="s">
        <v>376</v>
      </c>
      <c r="BH30" s="2321" t="s">
        <v>463</v>
      </c>
      <c r="BI30" s="2271" t="s">
        <v>376</v>
      </c>
      <c r="BJ30" s="2321" t="s">
        <v>463</v>
      </c>
      <c r="BK30" s="2271" t="s">
        <v>376</v>
      </c>
      <c r="BL30" s="2321" t="s">
        <v>463</v>
      </c>
      <c r="BM30" s="2271" t="s">
        <v>376</v>
      </c>
      <c r="BN30" s="2375" t="s">
        <v>463</v>
      </c>
      <c r="BO30" s="2271" t="s">
        <v>376</v>
      </c>
      <c r="BP30" s="2375" t="s">
        <v>463</v>
      </c>
      <c r="BQ30" s="2271" t="s">
        <v>376</v>
      </c>
      <c r="BR30" s="2375" t="s">
        <v>463</v>
      </c>
      <c r="BS30" s="2210"/>
      <c r="CD30" s="514">
        <v>34</v>
      </c>
    </row>
    <row customHeight="1" ht="15" hidden="1">
      <c r="C31" s="185"/>
      <c r="D31" s="602"/>
      <c r="E31" s="602"/>
      <c r="F31" s="602"/>
      <c r="G31" s="668"/>
      <c r="H31" s="668"/>
      <c r="I31" s="668"/>
      <c r="J31" s="668"/>
      <c r="K31" s="692"/>
      <c r="L31" s="692"/>
      <c r="M31" s="692"/>
      <c r="N31" s="692"/>
      <c r="O31" s="692"/>
      <c r="P31" s="692"/>
      <c r="Q31" s="692"/>
      <c r="R31" s="692"/>
      <c r="S31" s="692"/>
      <c r="T31" s="692"/>
      <c r="U31" s="692"/>
      <c r="V31" s="692"/>
      <c r="W31" s="692"/>
      <c r="X31" s="692"/>
      <c r="Y31" s="692"/>
      <c r="Z31" s="692"/>
      <c r="AA31" s="692"/>
      <c r="AB31" s="692"/>
      <c r="AC31" s="692"/>
      <c r="AD31" s="692"/>
      <c r="AE31" s="692"/>
      <c r="AF31" s="692"/>
      <c r="AG31" s="692"/>
      <c r="AH31" s="692"/>
      <c r="AI31" s="692"/>
      <c r="AJ31" s="692"/>
      <c r="AK31" s="692"/>
      <c r="AL31" s="692"/>
      <c r="AM31" s="692"/>
      <c r="AN31" s="692"/>
      <c r="AO31" s="692"/>
      <c r="AP31" s="692"/>
      <c r="AQ31" s="692"/>
      <c r="AR31" s="692"/>
      <c r="AS31" s="692"/>
      <c r="AT31" s="692"/>
      <c r="AU31" s="692"/>
      <c r="AV31" s="692"/>
      <c r="AW31" s="692"/>
      <c r="AX31" s="692"/>
      <c r="AY31" s="692"/>
      <c r="AZ31" s="692"/>
      <c r="BA31" s="692"/>
      <c r="BB31" s="692"/>
      <c r="BC31" s="692"/>
      <c r="BD31" s="692"/>
      <c r="BE31" s="692"/>
      <c r="BF31" s="692"/>
      <c r="BG31" s="692"/>
      <c r="BH31" s="692"/>
      <c r="BI31" s="692"/>
      <c r="BJ31" s="692"/>
      <c r="BK31" s="692"/>
      <c r="BL31" s="692"/>
      <c r="BM31" s="692"/>
      <c r="BN31" s="692"/>
      <c r="BO31" s="692"/>
      <c r="BP31" s="692"/>
      <c r="BQ31" s="692"/>
      <c r="BR31" s="692"/>
      <c r="BS31" s="298"/>
      <c r="CD31" s="514">
        <v>0</v>
      </c>
    </row>
    <row customHeight="1" ht="24">
      <c r="A32" s="514"/>
      <c r="B32" s="514" t="s">
        <v>1053</v>
      </c>
      <c r="C32" s="535"/>
      <c r="D32" s="701">
        <v>1</v>
      </c>
      <c r="E32" s="702" t="s">
        <v>1054</v>
      </c>
      <c r="F32" s="700" t="s">
        <v>379</v>
      </c>
      <c r="G32" s="822" t="s">
        <v>379</v>
      </c>
      <c r="H32" s="822" t="s">
        <v>379</v>
      </c>
      <c r="I32" s="700" t="s">
        <v>379</v>
      </c>
      <c r="J32" s="700" t="s">
        <v>379</v>
      </c>
      <c r="K32" s="2272" t="s">
        <v>379</v>
      </c>
      <c r="L32" s="2272" t="s">
        <v>379</v>
      </c>
      <c r="M32" s="2272" t="s">
        <v>379</v>
      </c>
      <c r="N32" s="2272" t="s">
        <v>379</v>
      </c>
      <c r="O32" s="2272" t="s">
        <v>379</v>
      </c>
      <c r="P32" s="2272" t="s">
        <v>379</v>
      </c>
      <c r="Q32" s="2272" t="s">
        <v>379</v>
      </c>
      <c r="R32" s="2272" t="s">
        <v>379</v>
      </c>
      <c r="S32" s="2272" t="s">
        <v>379</v>
      </c>
      <c r="T32" s="2272" t="s">
        <v>379</v>
      </c>
      <c r="U32" s="2272" t="s">
        <v>379</v>
      </c>
      <c r="V32" s="2272" t="s">
        <v>379</v>
      </c>
      <c r="W32" s="2272" t="s">
        <v>379</v>
      </c>
      <c r="X32" s="2272" t="s">
        <v>379</v>
      </c>
      <c r="Y32" s="2272" t="s">
        <v>379</v>
      </c>
      <c r="Z32" s="2272" t="s">
        <v>379</v>
      </c>
      <c r="AA32" s="2272" t="s">
        <v>379</v>
      </c>
      <c r="AB32" s="2272" t="s">
        <v>379</v>
      </c>
      <c r="AC32" s="2272" t="s">
        <v>379</v>
      </c>
      <c r="AD32" s="2272" t="s">
        <v>379</v>
      </c>
      <c r="AE32" s="2272" t="s">
        <v>379</v>
      </c>
      <c r="AF32" s="2272" t="s">
        <v>379</v>
      </c>
      <c r="AG32" s="2272" t="s">
        <v>379</v>
      </c>
      <c r="AH32" s="2272" t="s">
        <v>379</v>
      </c>
      <c r="AI32" s="2272" t="s">
        <v>379</v>
      </c>
      <c r="AJ32" s="2272" t="s">
        <v>379</v>
      </c>
      <c r="AK32" s="2272" t="s">
        <v>379</v>
      </c>
      <c r="AL32" s="2272" t="s">
        <v>379</v>
      </c>
      <c r="AM32" s="2272" t="s">
        <v>379</v>
      </c>
      <c r="AN32" s="2272" t="s">
        <v>379</v>
      </c>
      <c r="AO32" s="2272" t="s">
        <v>379</v>
      </c>
      <c r="AP32" s="2272" t="s">
        <v>379</v>
      </c>
      <c r="AQ32" s="2272" t="s">
        <v>379</v>
      </c>
      <c r="AR32" s="2272" t="s">
        <v>379</v>
      </c>
      <c r="AS32" s="2272" t="s">
        <v>379</v>
      </c>
      <c r="AT32" s="2272" t="s">
        <v>379</v>
      </c>
      <c r="AU32" s="2272" t="s">
        <v>379</v>
      </c>
      <c r="AV32" s="2272" t="s">
        <v>379</v>
      </c>
      <c r="AW32" s="2272" t="s">
        <v>379</v>
      </c>
      <c r="AX32" s="2272" t="s">
        <v>379</v>
      </c>
      <c r="AY32" s="2272" t="s">
        <v>379</v>
      </c>
      <c r="AZ32" s="2272" t="s">
        <v>379</v>
      </c>
      <c r="BA32" s="2272" t="s">
        <v>379</v>
      </c>
      <c r="BB32" s="2272" t="s">
        <v>379</v>
      </c>
      <c r="BC32" s="2272" t="s">
        <v>379</v>
      </c>
      <c r="BD32" s="2272" t="s">
        <v>379</v>
      </c>
      <c r="BE32" s="2272" t="s">
        <v>379</v>
      </c>
      <c r="BF32" s="2272" t="s">
        <v>379</v>
      </c>
      <c r="BG32" s="2272" t="s">
        <v>379</v>
      </c>
      <c r="BH32" s="2272" t="s">
        <v>379</v>
      </c>
      <c r="BI32" s="2272" t="s">
        <v>379</v>
      </c>
      <c r="BJ32" s="2272" t="s">
        <v>379</v>
      </c>
      <c r="BK32" s="2272" t="s">
        <v>379</v>
      </c>
      <c r="BL32" s="2272" t="s">
        <v>379</v>
      </c>
      <c r="BM32" s="2272" t="s">
        <v>379</v>
      </c>
      <c r="BN32" s="2272" t="s">
        <v>379</v>
      </c>
      <c r="BO32" s="2272" t="s">
        <v>379</v>
      </c>
      <c r="BP32" s="2272" t="s">
        <v>379</v>
      </c>
      <c r="BQ32" s="2272" t="s">
        <v>379</v>
      </c>
      <c r="BR32" s="2272" t="s">
        <v>379</v>
      </c>
      <c r="BS32" s="298"/>
      <c r="CD32" s="514">
        <v>23</v>
      </c>
    </row>
    <row customHeight="1" ht="11.549999999999999">
      <c r="A33" s="514"/>
      <c r="C33" s="514"/>
      <c r="D33" s="356"/>
      <c r="E33" s="589" t="s">
        <v>659</v>
      </c>
      <c r="F33" s="581"/>
      <c r="G33" s="581"/>
      <c r="H33" s="581"/>
      <c r="I33" s="581"/>
      <c r="J33" s="581"/>
      <c r="K33" s="2884"/>
      <c r="L33" s="2885"/>
      <c r="M33" s="2886"/>
      <c r="N33" s="2887"/>
      <c r="O33" s="2888"/>
      <c r="P33" s="2889"/>
      <c r="Q33" s="2890"/>
      <c r="R33" s="2891"/>
      <c r="S33" s="2892"/>
      <c r="T33" s="2893"/>
      <c r="U33" s="2894"/>
      <c r="V33" s="2895"/>
      <c r="W33" s="2896"/>
      <c r="X33" s="2897"/>
      <c r="Y33" s="2898"/>
      <c r="Z33" s="2899"/>
      <c r="AA33" s="2900"/>
      <c r="AB33" s="2901"/>
      <c r="AC33" s="2902"/>
      <c r="AD33" s="2903"/>
      <c r="AE33" s="2904"/>
      <c r="AF33" s="2905"/>
      <c r="AG33" s="2906"/>
      <c r="AH33" s="2907"/>
      <c r="AI33" s="2908"/>
      <c r="AJ33" s="2909"/>
      <c r="AK33" s="2910"/>
      <c r="AL33" s="2911"/>
      <c r="AM33" s="2912"/>
      <c r="AN33" s="2913"/>
      <c r="AO33" s="2914"/>
      <c r="AP33" s="2915"/>
      <c r="AQ33" s="2916"/>
      <c r="AR33" s="2917"/>
      <c r="AS33" s="2918"/>
      <c r="AT33" s="2919"/>
      <c r="AU33" s="2920"/>
      <c r="AV33" s="2921"/>
      <c r="AW33" s="2922"/>
      <c r="AX33" s="2923"/>
      <c r="AY33" s="2924"/>
      <c r="AZ33" s="2925"/>
      <c r="BA33" s="2926"/>
      <c r="BB33" s="2927"/>
      <c r="BC33" s="2928"/>
      <c r="BD33" s="2929"/>
      <c r="BE33" s="2930"/>
      <c r="BF33" s="2931"/>
      <c r="BG33" s="2932"/>
      <c r="BH33" s="2933"/>
      <c r="BI33" s="2934"/>
      <c r="BJ33" s="2935"/>
      <c r="BK33" s="2936"/>
      <c r="BL33" s="2937"/>
      <c r="BM33" s="3160"/>
      <c r="BN33" s="3161"/>
      <c r="BO33" s="3162"/>
      <c r="BP33" s="3163"/>
      <c r="BQ33" s="3164"/>
      <c r="BR33" s="3165"/>
      <c r="BS33" s="582"/>
      <c r="CC33" s="514"/>
      <c r="CD33" s="514">
        <v>11</v>
      </c>
    </row>
    <row customHeight="1" ht="24">
      <c r="A34" s="514"/>
      <c r="B34" s="590" t="s">
        <v>739</v>
      </c>
      <c r="C34" s="535"/>
      <c r="D34" s="701">
        <v>2</v>
      </c>
      <c r="E34" s="702" t="s">
        <v>1055</v>
      </c>
      <c r="F34" s="829" t="s">
        <v>379</v>
      </c>
      <c r="G34" s="829" t="s">
        <v>379</v>
      </c>
      <c r="H34" s="829" t="s">
        <v>379</v>
      </c>
      <c r="I34" s="700"/>
      <c r="J34" s="700"/>
      <c r="K34" s="2272" t="s">
        <v>379</v>
      </c>
      <c r="L34" s="2272" t="s">
        <v>379</v>
      </c>
      <c r="M34" s="2272" t="s">
        <v>379</v>
      </c>
      <c r="N34" s="2272" t="s">
        <v>379</v>
      </c>
      <c r="O34" s="2272" t="s">
        <v>379</v>
      </c>
      <c r="P34" s="2272" t="s">
        <v>379</v>
      </c>
      <c r="Q34" s="2272" t="s">
        <v>379</v>
      </c>
      <c r="R34" s="2272" t="s">
        <v>379</v>
      </c>
      <c r="S34" s="2272" t="s">
        <v>379</v>
      </c>
      <c r="T34" s="2272" t="s">
        <v>379</v>
      </c>
      <c r="U34" s="2272" t="s">
        <v>379</v>
      </c>
      <c r="V34" s="2272" t="s">
        <v>379</v>
      </c>
      <c r="W34" s="2272" t="s">
        <v>379</v>
      </c>
      <c r="X34" s="2272" t="s">
        <v>379</v>
      </c>
      <c r="Y34" s="2272" t="s">
        <v>379</v>
      </c>
      <c r="Z34" s="2272" t="s">
        <v>379</v>
      </c>
      <c r="AA34" s="2272" t="s">
        <v>379</v>
      </c>
      <c r="AB34" s="2272" t="s">
        <v>379</v>
      </c>
      <c r="AC34" s="2272" t="s">
        <v>379</v>
      </c>
      <c r="AD34" s="2272" t="s">
        <v>379</v>
      </c>
      <c r="AE34" s="2272" t="s">
        <v>379</v>
      </c>
      <c r="AF34" s="2272" t="s">
        <v>379</v>
      </c>
      <c r="AG34" s="2272" t="s">
        <v>379</v>
      </c>
      <c r="AH34" s="2272" t="s">
        <v>379</v>
      </c>
      <c r="AI34" s="2272" t="s">
        <v>379</v>
      </c>
      <c r="AJ34" s="2272" t="s">
        <v>379</v>
      </c>
      <c r="AK34" s="2272" t="s">
        <v>379</v>
      </c>
      <c r="AL34" s="2272" t="s">
        <v>379</v>
      </c>
      <c r="AM34" s="2272" t="s">
        <v>379</v>
      </c>
      <c r="AN34" s="2272" t="s">
        <v>379</v>
      </c>
      <c r="AO34" s="2272" t="s">
        <v>379</v>
      </c>
      <c r="AP34" s="2272" t="s">
        <v>379</v>
      </c>
      <c r="AQ34" s="2272" t="s">
        <v>379</v>
      </c>
      <c r="AR34" s="2272" t="s">
        <v>379</v>
      </c>
      <c r="AS34" s="2272" t="s">
        <v>379</v>
      </c>
      <c r="AT34" s="2272" t="s">
        <v>379</v>
      </c>
      <c r="AU34" s="2272" t="s">
        <v>379</v>
      </c>
      <c r="AV34" s="2272" t="s">
        <v>379</v>
      </c>
      <c r="AW34" s="2272" t="s">
        <v>379</v>
      </c>
      <c r="AX34" s="2272" t="s">
        <v>379</v>
      </c>
      <c r="AY34" s="2272" t="s">
        <v>379</v>
      </c>
      <c r="AZ34" s="2272" t="s">
        <v>379</v>
      </c>
      <c r="BA34" s="2272" t="s">
        <v>379</v>
      </c>
      <c r="BB34" s="2272" t="s">
        <v>379</v>
      </c>
      <c r="BC34" s="2272" t="s">
        <v>379</v>
      </c>
      <c r="BD34" s="2272" t="s">
        <v>379</v>
      </c>
      <c r="BE34" s="2272" t="s">
        <v>379</v>
      </c>
      <c r="BF34" s="2272" t="s">
        <v>379</v>
      </c>
      <c r="BG34" s="2272" t="s">
        <v>379</v>
      </c>
      <c r="BH34" s="2272" t="s">
        <v>379</v>
      </c>
      <c r="BI34" s="2272" t="s">
        <v>379</v>
      </c>
      <c r="BJ34" s="2272" t="s">
        <v>379</v>
      </c>
      <c r="BK34" s="2272" t="s">
        <v>379</v>
      </c>
      <c r="BL34" s="2272" t="s">
        <v>379</v>
      </c>
      <c r="BM34" s="2272" t="s">
        <v>379</v>
      </c>
      <c r="BN34" s="2272" t="s">
        <v>379</v>
      </c>
      <c r="BO34" s="2272" t="s">
        <v>379</v>
      </c>
      <c r="BP34" s="2272" t="s">
        <v>379</v>
      </c>
      <c r="BQ34" s="2272" t="s">
        <v>379</v>
      </c>
      <c r="BR34" s="2272" t="s">
        <v>379</v>
      </c>
      <c r="BS34" s="298"/>
      <c r="CD34" s="514">
        <v>23</v>
      </c>
    </row>
    <row customHeight="1" ht="11.549999999999999">
      <c r="A35" s="514"/>
      <c r="C35" s="514"/>
      <c r="D35" s="356"/>
      <c r="E35" s="589" t="s">
        <v>1056</v>
      </c>
      <c r="F35" s="581"/>
      <c r="G35" s="703"/>
      <c r="H35" s="581"/>
      <c r="I35" s="703"/>
      <c r="J35" s="581"/>
      <c r="K35" s="2938"/>
      <c r="L35" s="2939"/>
      <c r="M35" s="2940"/>
      <c r="N35" s="2941"/>
      <c r="O35" s="2942"/>
      <c r="P35" s="2943"/>
      <c r="Q35" s="2944"/>
      <c r="R35" s="2945"/>
      <c r="S35" s="2946"/>
      <c r="T35" s="2947"/>
      <c r="U35" s="2948"/>
      <c r="V35" s="2949"/>
      <c r="W35" s="2950"/>
      <c r="X35" s="2951"/>
      <c r="Y35" s="2952"/>
      <c r="Z35" s="2953"/>
      <c r="AA35" s="2954"/>
      <c r="AB35" s="2955"/>
      <c r="AC35" s="2956"/>
      <c r="AD35" s="2957"/>
      <c r="AE35" s="2958"/>
      <c r="AF35" s="2959"/>
      <c r="AG35" s="2960"/>
      <c r="AH35" s="2961"/>
      <c r="AI35" s="2962"/>
      <c r="AJ35" s="2963"/>
      <c r="AK35" s="2964"/>
      <c r="AL35" s="2965"/>
      <c r="AM35" s="2966"/>
      <c r="AN35" s="2967"/>
      <c r="AO35" s="2968"/>
      <c r="AP35" s="2969"/>
      <c r="AQ35" s="2970"/>
      <c r="AR35" s="2971"/>
      <c r="AS35" s="2972"/>
      <c r="AT35" s="2973"/>
      <c r="AU35" s="2974"/>
      <c r="AV35" s="2975"/>
      <c r="AW35" s="2976"/>
      <c r="AX35" s="2977"/>
      <c r="AY35" s="2978"/>
      <c r="AZ35" s="2979"/>
      <c r="BA35" s="2980"/>
      <c r="BB35" s="2981"/>
      <c r="BC35" s="2982"/>
      <c r="BD35" s="2983"/>
      <c r="BE35" s="2984"/>
      <c r="BF35" s="2985"/>
      <c r="BG35" s="2986"/>
      <c r="BH35" s="2987"/>
      <c r="BI35" s="2988"/>
      <c r="BJ35" s="2989"/>
      <c r="BK35" s="2990"/>
      <c r="BL35" s="2991"/>
      <c r="BM35" s="3166"/>
      <c r="BN35" s="3167"/>
      <c r="BO35" s="3168"/>
      <c r="BP35" s="3169"/>
      <c r="BQ35" s="3170"/>
      <c r="BR35" s="3171"/>
      <c r="BS35" s="582"/>
      <c r="CC35" s="514"/>
      <c r="CD35" s="514">
        <v>11</v>
      </c>
    </row>
    <row customHeight="1" ht="71.25">
      <c r="A36" s="514"/>
      <c r="B36" s="514" t="s">
        <v>1057</v>
      </c>
      <c r="C36" s="535"/>
      <c r="D36" s="701">
        <v>3</v>
      </c>
      <c r="E36" s="702" t="s">
        <v>1058</v>
      </c>
      <c r="F36" s="704" t="s">
        <v>379</v>
      </c>
      <c r="G36" s="823" t="s">
        <v>1059</v>
      </c>
      <c r="H36" s="822" t="s">
        <v>379</v>
      </c>
      <c r="I36" s="533" t="s">
        <v>1059</v>
      </c>
      <c r="J36" s="700" t="s">
        <v>379</v>
      </c>
      <c r="K36" s="2116" t="s">
        <v>1059</v>
      </c>
      <c r="L36" s="2272" t="s">
        <v>379</v>
      </c>
      <c r="M36" s="2116" t="s">
        <v>1059</v>
      </c>
      <c r="N36" s="2272" t="s">
        <v>379</v>
      </c>
      <c r="O36" s="2116" t="s">
        <v>1059</v>
      </c>
      <c r="P36" s="2272" t="s">
        <v>379</v>
      </c>
      <c r="Q36" s="2116" t="s">
        <v>1059</v>
      </c>
      <c r="R36" s="2272" t="s">
        <v>379</v>
      </c>
      <c r="S36" s="2116" t="s">
        <v>1059</v>
      </c>
      <c r="T36" s="2272" t="s">
        <v>379</v>
      </c>
      <c r="U36" s="2116" t="s">
        <v>1059</v>
      </c>
      <c r="V36" s="2272" t="s">
        <v>379</v>
      </c>
      <c r="W36" s="2116" t="s">
        <v>1059</v>
      </c>
      <c r="X36" s="2272" t="s">
        <v>379</v>
      </c>
      <c r="Y36" s="2116" t="s">
        <v>1059</v>
      </c>
      <c r="Z36" s="2272" t="s">
        <v>379</v>
      </c>
      <c r="AA36" s="2116" t="s">
        <v>1059</v>
      </c>
      <c r="AB36" s="2272" t="s">
        <v>379</v>
      </c>
      <c r="AC36" s="2116" t="s">
        <v>1059</v>
      </c>
      <c r="AD36" s="2272" t="s">
        <v>379</v>
      </c>
      <c r="AE36" s="2116" t="s">
        <v>1059</v>
      </c>
      <c r="AF36" s="2272" t="s">
        <v>379</v>
      </c>
      <c r="AG36" s="2116" t="s">
        <v>1059</v>
      </c>
      <c r="AH36" s="2272" t="s">
        <v>379</v>
      </c>
      <c r="AI36" s="2116" t="s">
        <v>1059</v>
      </c>
      <c r="AJ36" s="2272" t="s">
        <v>379</v>
      </c>
      <c r="AK36" s="2116" t="s">
        <v>1059</v>
      </c>
      <c r="AL36" s="2272" t="s">
        <v>379</v>
      </c>
      <c r="AM36" s="2116" t="s">
        <v>1059</v>
      </c>
      <c r="AN36" s="2272" t="s">
        <v>379</v>
      </c>
      <c r="AO36" s="2116" t="s">
        <v>1059</v>
      </c>
      <c r="AP36" s="2272" t="s">
        <v>379</v>
      </c>
      <c r="AQ36" s="2116" t="s">
        <v>1059</v>
      </c>
      <c r="AR36" s="2272" t="s">
        <v>379</v>
      </c>
      <c r="AS36" s="2116" t="s">
        <v>1059</v>
      </c>
      <c r="AT36" s="2272" t="s">
        <v>379</v>
      </c>
      <c r="AU36" s="2116" t="s">
        <v>1059</v>
      </c>
      <c r="AV36" s="2272" t="s">
        <v>379</v>
      </c>
      <c r="AW36" s="2116" t="s">
        <v>1059</v>
      </c>
      <c r="AX36" s="2272" t="s">
        <v>379</v>
      </c>
      <c r="AY36" s="2116" t="s">
        <v>1059</v>
      </c>
      <c r="AZ36" s="2272" t="s">
        <v>379</v>
      </c>
      <c r="BA36" s="2116" t="s">
        <v>1059</v>
      </c>
      <c r="BB36" s="2272" t="s">
        <v>379</v>
      </c>
      <c r="BC36" s="2116" t="s">
        <v>1059</v>
      </c>
      <c r="BD36" s="2272" t="s">
        <v>379</v>
      </c>
      <c r="BE36" s="2116" t="s">
        <v>1059</v>
      </c>
      <c r="BF36" s="2272" t="s">
        <v>379</v>
      </c>
      <c r="BG36" s="2116" t="s">
        <v>1059</v>
      </c>
      <c r="BH36" s="2272" t="s">
        <v>379</v>
      </c>
      <c r="BI36" s="2116" t="s">
        <v>1059</v>
      </c>
      <c r="BJ36" s="2272" t="s">
        <v>379</v>
      </c>
      <c r="BK36" s="2116" t="s">
        <v>1059</v>
      </c>
      <c r="BL36" s="2272" t="s">
        <v>379</v>
      </c>
      <c r="BM36" s="2116" t="s">
        <v>1059</v>
      </c>
      <c r="BN36" s="2272" t="s">
        <v>379</v>
      </c>
      <c r="BO36" s="2116" t="s">
        <v>1059</v>
      </c>
      <c r="BP36" s="2272" t="s">
        <v>379</v>
      </c>
      <c r="BQ36" s="2116" t="s">
        <v>1059</v>
      </c>
      <c r="BR36" s="2272" t="s">
        <v>379</v>
      </c>
      <c r="BS36" s="298" t="s">
        <v>1060</v>
      </c>
      <c r="CD36" s="514">
        <v>68</v>
      </c>
    </row>
    <row customHeight="1" ht="11.549999999999999">
      <c r="A37" s="514"/>
      <c r="C37" s="514"/>
      <c r="D37" s="356"/>
      <c r="E37" s="589" t="s">
        <v>1061</v>
      </c>
      <c r="F37" s="581"/>
      <c r="G37" s="703"/>
      <c r="H37" s="703"/>
      <c r="I37" s="703"/>
      <c r="J37" s="703"/>
      <c r="K37" s="2992"/>
      <c r="L37" s="2993"/>
      <c r="M37" s="2994"/>
      <c r="N37" s="2995"/>
      <c r="O37" s="2996"/>
      <c r="P37" s="2997"/>
      <c r="Q37" s="2998"/>
      <c r="R37" s="2999"/>
      <c r="S37" s="3000"/>
      <c r="T37" s="3001"/>
      <c r="U37" s="3002"/>
      <c r="V37" s="3003"/>
      <c r="W37" s="3004"/>
      <c r="X37" s="3005"/>
      <c r="Y37" s="3006"/>
      <c r="Z37" s="3007"/>
      <c r="AA37" s="3008"/>
      <c r="AB37" s="3009"/>
      <c r="AC37" s="3010"/>
      <c r="AD37" s="3011"/>
      <c r="AE37" s="3012"/>
      <c r="AF37" s="3013"/>
      <c r="AG37" s="3014"/>
      <c r="AH37" s="3015"/>
      <c r="AI37" s="3016"/>
      <c r="AJ37" s="3017"/>
      <c r="AK37" s="3018"/>
      <c r="AL37" s="3019"/>
      <c r="AM37" s="3020"/>
      <c r="AN37" s="3021"/>
      <c r="AO37" s="3022"/>
      <c r="AP37" s="3023"/>
      <c r="AQ37" s="3024"/>
      <c r="AR37" s="3025"/>
      <c r="AS37" s="3026"/>
      <c r="AT37" s="3027"/>
      <c r="AU37" s="3028"/>
      <c r="AV37" s="3029"/>
      <c r="AW37" s="3030"/>
      <c r="AX37" s="3031"/>
      <c r="AY37" s="3032"/>
      <c r="AZ37" s="3033"/>
      <c r="BA37" s="3034"/>
      <c r="BB37" s="3035"/>
      <c r="BC37" s="3036"/>
      <c r="BD37" s="3037"/>
      <c r="BE37" s="3038"/>
      <c r="BF37" s="3039"/>
      <c r="BG37" s="3040"/>
      <c r="BH37" s="3041"/>
      <c r="BI37" s="3042"/>
      <c r="BJ37" s="3043"/>
      <c r="BK37" s="3044"/>
      <c r="BL37" s="3045"/>
      <c r="BM37" s="3172"/>
      <c r="BN37" s="3173"/>
      <c r="BO37" s="3174"/>
      <c r="BP37" s="3175"/>
      <c r="BQ37" s="3176"/>
      <c r="BR37" s="3177"/>
      <c r="BS37" s="582"/>
      <c r="CC37" s="514"/>
      <c r="CD37" s="514">
        <v>11</v>
      </c>
    </row>
    <row customHeight="1" ht="71.25">
      <c r="A38" s="514"/>
      <c r="B38" s="514" t="s">
        <v>1062</v>
      </c>
      <c r="C38" s="535"/>
      <c r="D38" s="701">
        <v>4</v>
      </c>
      <c r="E38" s="702" t="s">
        <v>1063</v>
      </c>
      <c r="F38" s="704" t="s">
        <v>379</v>
      </c>
      <c r="G38" s="823" t="s">
        <v>1059</v>
      </c>
      <c r="H38" s="824" t="s">
        <v>379</v>
      </c>
      <c r="I38" s="533" t="s">
        <v>1059</v>
      </c>
      <c r="J38" s="530" t="s">
        <v>379</v>
      </c>
      <c r="K38" s="2116" t="s">
        <v>1059</v>
      </c>
      <c r="L38" s="2321" t="s">
        <v>379</v>
      </c>
      <c r="M38" s="2116" t="s">
        <v>1059</v>
      </c>
      <c r="N38" s="2321" t="s">
        <v>379</v>
      </c>
      <c r="O38" s="2116" t="s">
        <v>1059</v>
      </c>
      <c r="P38" s="2321" t="s">
        <v>379</v>
      </c>
      <c r="Q38" s="2116" t="s">
        <v>1059</v>
      </c>
      <c r="R38" s="2321" t="s">
        <v>379</v>
      </c>
      <c r="S38" s="2116" t="s">
        <v>1059</v>
      </c>
      <c r="T38" s="2321" t="s">
        <v>379</v>
      </c>
      <c r="U38" s="2116" t="s">
        <v>1059</v>
      </c>
      <c r="V38" s="2321" t="s">
        <v>379</v>
      </c>
      <c r="W38" s="2116" t="s">
        <v>1059</v>
      </c>
      <c r="X38" s="2321" t="s">
        <v>379</v>
      </c>
      <c r="Y38" s="2116" t="s">
        <v>1059</v>
      </c>
      <c r="Z38" s="2321" t="s">
        <v>379</v>
      </c>
      <c r="AA38" s="2116" t="s">
        <v>1059</v>
      </c>
      <c r="AB38" s="2321" t="s">
        <v>379</v>
      </c>
      <c r="AC38" s="2116" t="s">
        <v>1059</v>
      </c>
      <c r="AD38" s="2321" t="s">
        <v>379</v>
      </c>
      <c r="AE38" s="2116" t="s">
        <v>1059</v>
      </c>
      <c r="AF38" s="2321" t="s">
        <v>379</v>
      </c>
      <c r="AG38" s="2116" t="s">
        <v>1059</v>
      </c>
      <c r="AH38" s="2321" t="s">
        <v>379</v>
      </c>
      <c r="AI38" s="2116" t="s">
        <v>1059</v>
      </c>
      <c r="AJ38" s="2321" t="s">
        <v>379</v>
      </c>
      <c r="AK38" s="2116" t="s">
        <v>1059</v>
      </c>
      <c r="AL38" s="2321" t="s">
        <v>379</v>
      </c>
      <c r="AM38" s="2116" t="s">
        <v>1059</v>
      </c>
      <c r="AN38" s="2321" t="s">
        <v>379</v>
      </c>
      <c r="AO38" s="2116" t="s">
        <v>1059</v>
      </c>
      <c r="AP38" s="2321" t="s">
        <v>379</v>
      </c>
      <c r="AQ38" s="2116" t="s">
        <v>1059</v>
      </c>
      <c r="AR38" s="2321" t="s">
        <v>379</v>
      </c>
      <c r="AS38" s="2116" t="s">
        <v>1059</v>
      </c>
      <c r="AT38" s="2321" t="s">
        <v>379</v>
      </c>
      <c r="AU38" s="2116" t="s">
        <v>1059</v>
      </c>
      <c r="AV38" s="2321" t="s">
        <v>379</v>
      </c>
      <c r="AW38" s="2116" t="s">
        <v>1059</v>
      </c>
      <c r="AX38" s="2321" t="s">
        <v>379</v>
      </c>
      <c r="AY38" s="2116" t="s">
        <v>1059</v>
      </c>
      <c r="AZ38" s="2321" t="s">
        <v>379</v>
      </c>
      <c r="BA38" s="2116" t="s">
        <v>1059</v>
      </c>
      <c r="BB38" s="2321" t="s">
        <v>379</v>
      </c>
      <c r="BC38" s="2116" t="s">
        <v>1059</v>
      </c>
      <c r="BD38" s="2321" t="s">
        <v>379</v>
      </c>
      <c r="BE38" s="2116" t="s">
        <v>1059</v>
      </c>
      <c r="BF38" s="2321" t="s">
        <v>379</v>
      </c>
      <c r="BG38" s="2116" t="s">
        <v>1059</v>
      </c>
      <c r="BH38" s="2321" t="s">
        <v>379</v>
      </c>
      <c r="BI38" s="2116" t="s">
        <v>1059</v>
      </c>
      <c r="BJ38" s="2321" t="s">
        <v>379</v>
      </c>
      <c r="BK38" s="2116" t="s">
        <v>1059</v>
      </c>
      <c r="BL38" s="2321" t="s">
        <v>379</v>
      </c>
      <c r="BM38" s="2116" t="s">
        <v>1059</v>
      </c>
      <c r="BN38" s="2375" t="s">
        <v>379</v>
      </c>
      <c r="BO38" s="2116" t="s">
        <v>1059</v>
      </c>
      <c r="BP38" s="2375" t="s">
        <v>379</v>
      </c>
      <c r="BQ38" s="2116" t="s">
        <v>1059</v>
      </c>
      <c r="BR38" s="2375" t="s">
        <v>379</v>
      </c>
      <c r="BS38" s="688" t="s">
        <v>1064</v>
      </c>
      <c r="CD38" s="514">
        <v>68</v>
      </c>
    </row>
    <row customHeight="1" ht="11.549999999999999">
      <c r="A39" s="514"/>
      <c r="C39" s="514"/>
      <c r="D39" s="356"/>
      <c r="E39" s="589" t="s">
        <v>1065</v>
      </c>
      <c r="F39" s="581"/>
      <c r="G39" s="581"/>
      <c r="H39" s="705"/>
      <c r="I39" s="581"/>
      <c r="J39" s="705"/>
      <c r="K39" s="3046"/>
      <c r="L39" s="3047"/>
      <c r="M39" s="3048"/>
      <c r="N39" s="3049"/>
      <c r="O39" s="3050"/>
      <c r="P39" s="3051"/>
      <c r="Q39" s="3052"/>
      <c r="R39" s="3053"/>
      <c r="S39" s="3054"/>
      <c r="T39" s="3055"/>
      <c r="U39" s="3056"/>
      <c r="V39" s="3057"/>
      <c r="W39" s="3058"/>
      <c r="X39" s="3059"/>
      <c r="Y39" s="3060"/>
      <c r="Z39" s="3061"/>
      <c r="AA39" s="3062"/>
      <c r="AB39" s="3063"/>
      <c r="AC39" s="3064"/>
      <c r="AD39" s="3065"/>
      <c r="AE39" s="3066"/>
      <c r="AF39" s="3067"/>
      <c r="AG39" s="3068"/>
      <c r="AH39" s="3069"/>
      <c r="AI39" s="3070"/>
      <c r="AJ39" s="3071"/>
      <c r="AK39" s="3072"/>
      <c r="AL39" s="3073"/>
      <c r="AM39" s="3074"/>
      <c r="AN39" s="3075"/>
      <c r="AO39" s="3076"/>
      <c r="AP39" s="3077"/>
      <c r="AQ39" s="3078"/>
      <c r="AR39" s="3079"/>
      <c r="AS39" s="3080"/>
      <c r="AT39" s="3081"/>
      <c r="AU39" s="3082"/>
      <c r="AV39" s="3083"/>
      <c r="AW39" s="3084"/>
      <c r="AX39" s="3085"/>
      <c r="AY39" s="3086"/>
      <c r="AZ39" s="3087"/>
      <c r="BA39" s="3088"/>
      <c r="BB39" s="3089"/>
      <c r="BC39" s="3090"/>
      <c r="BD39" s="3091"/>
      <c r="BE39" s="3092"/>
      <c r="BF39" s="3093"/>
      <c r="BG39" s="3094"/>
      <c r="BH39" s="3095"/>
      <c r="BI39" s="3096"/>
      <c r="BJ39" s="3097"/>
      <c r="BK39" s="3098"/>
      <c r="BL39" s="3099"/>
      <c r="BM39" s="3178"/>
      <c r="BN39" s="3179"/>
      <c r="BO39" s="3180"/>
      <c r="BP39" s="3181"/>
      <c r="BQ39" s="3182"/>
      <c r="BR39" s="3183"/>
      <c r="BS39" s="582"/>
      <c r="CC39" s="514"/>
      <c r="CD39" s="514">
        <v>11</v>
      </c>
    </row>
    <row customHeight="1" ht="22.5" hidden="1">
      <c r="A40" s="458" t="s">
        <v>82</v>
      </c>
      <c r="B40" s="514">
        <v>0</v>
      </c>
      <c r="C40" s="692">
        <v>4</v>
      </c>
      <c r="D40" s="514">
        <v>6</v>
      </c>
      <c r="E40" s="514">
        <v>36</v>
      </c>
      <c r="F40" s="514">
        <v>9</v>
      </c>
      <c r="G40" s="767">
        <v>0</v>
      </c>
      <c r="H40" s="767">
        <v>0</v>
      </c>
      <c r="I40" s="514">
        <v>25</v>
      </c>
      <c r="J40" s="514">
        <v>33</v>
      </c>
      <c r="K40" s="1644">
        <v>0</v>
      </c>
      <c r="L40" s="1644">
        <v>0</v>
      </c>
      <c r="M40" s="1644">
        <v>0</v>
      </c>
      <c r="N40" s="1644">
        <v>0</v>
      </c>
      <c r="O40" s="1644">
        <v>0</v>
      </c>
      <c r="P40" s="1644">
        <v>0</v>
      </c>
      <c r="Q40" s="1644">
        <v>0</v>
      </c>
      <c r="R40" s="1644">
        <v>0</v>
      </c>
      <c r="S40" s="1644">
        <v>0</v>
      </c>
      <c r="T40" s="1644">
        <v>0</v>
      </c>
      <c r="U40" s="1644">
        <v>0</v>
      </c>
      <c r="V40" s="1644">
        <v>0</v>
      </c>
      <c r="W40" s="1644">
        <v>0</v>
      </c>
      <c r="X40" s="1644">
        <v>0</v>
      </c>
      <c r="Y40" s="1644">
        <v>0</v>
      </c>
      <c r="Z40" s="1644">
        <v>0</v>
      </c>
      <c r="AA40" s="1644">
        <v>0</v>
      </c>
      <c r="AB40" s="1644">
        <v>0</v>
      </c>
      <c r="AC40" s="1644">
        <v>0</v>
      </c>
      <c r="AD40" s="1644">
        <v>0</v>
      </c>
      <c r="AE40" s="1644">
        <v>0</v>
      </c>
      <c r="AF40" s="1644">
        <v>0</v>
      </c>
      <c r="AG40" s="1644">
        <v>0</v>
      </c>
      <c r="AH40" s="1644">
        <v>0</v>
      </c>
      <c r="AI40" s="1644">
        <v>0</v>
      </c>
      <c r="AJ40" s="1644">
        <v>0</v>
      </c>
      <c r="AK40" s="1644">
        <v>0</v>
      </c>
      <c r="AL40" s="1644">
        <v>0</v>
      </c>
      <c r="AM40" s="1644">
        <v>0</v>
      </c>
      <c r="AN40" s="1644">
        <v>0</v>
      </c>
      <c r="AO40" s="1644">
        <v>0</v>
      </c>
      <c r="AP40" s="1644">
        <v>0</v>
      </c>
      <c r="AQ40" s="1644">
        <v>0</v>
      </c>
      <c r="AR40" s="1644">
        <v>0</v>
      </c>
      <c r="AS40" s="1644">
        <v>0</v>
      </c>
      <c r="AT40" s="1644">
        <v>0</v>
      </c>
      <c r="AU40" s="1644">
        <v>0</v>
      </c>
      <c r="AV40" s="1644">
        <v>0</v>
      </c>
      <c r="AW40" s="1644">
        <v>0</v>
      </c>
      <c r="AX40" s="1644">
        <v>0</v>
      </c>
      <c r="AY40" s="1644">
        <v>0</v>
      </c>
      <c r="AZ40" s="1644">
        <v>0</v>
      </c>
      <c r="BA40" s="1644">
        <v>0</v>
      </c>
      <c r="BB40" s="1644">
        <v>0</v>
      </c>
      <c r="BC40" s="1644">
        <v>0</v>
      </c>
      <c r="BD40" s="1644">
        <v>0</v>
      </c>
      <c r="BE40" s="1644">
        <v>0</v>
      </c>
      <c r="BF40" s="1644">
        <v>0</v>
      </c>
      <c r="BG40" s="1644">
        <v>0</v>
      </c>
      <c r="BH40" s="1644">
        <v>0</v>
      </c>
      <c r="BI40" s="1644">
        <v>0</v>
      </c>
      <c r="BJ40" s="1644">
        <v>0</v>
      </c>
      <c r="BK40" s="1644">
        <v>0</v>
      </c>
      <c r="BL40" s="1644">
        <v>0</v>
      </c>
      <c r="BM40" s="1644">
        <v>0</v>
      </c>
      <c r="BN40" s="1644">
        <v>0</v>
      </c>
      <c r="BO40" s="1644">
        <v>0</v>
      </c>
      <c r="BP40" s="1644">
        <v>0</v>
      </c>
      <c r="BQ40" s="1644">
        <v>0</v>
      </c>
      <c r="BR40" s="1644">
        <v>0</v>
      </c>
      <c r="BS40" s="426">
        <v>93</v>
      </c>
      <c r="BT40" s="514">
        <v>10</v>
      </c>
      <c r="BU40" s="514">
        <v>10</v>
      </c>
      <c r="BV40" s="514">
        <v>10</v>
      </c>
      <c r="BW40" s="514">
        <v>10</v>
      </c>
      <c r="BX40" s="514">
        <v>10</v>
      </c>
      <c r="BY40" s="514">
        <v>10</v>
      </c>
      <c r="BZ40" s="514">
        <v>10</v>
      </c>
      <c r="CA40" s="514">
        <v>10</v>
      </c>
      <c r="CB40" s="514">
        <v>10</v>
      </c>
      <c r="CC40" s="684">
        <v>10</v>
      </c>
      <c r="CD40" s="514">
        <v>23</v>
      </c>
    </row>
  </sheetData>
  <sheetProtection formatColumns="0" formatRows="0" autoFilter="0" sort="0" insertRows="0" insertColumns="1" deleteRows="0" deleteColumns="0"/>
  <mergeCells count="111">
    <mergeCell ref="B3:B4"/>
    <mergeCell ref="C3:C4"/>
    <mergeCell ref="B6:B7"/>
    <mergeCell ref="C6:C7"/>
    <mergeCell ref="B9:B11"/>
    <mergeCell ref="C9:C11"/>
    <mergeCell ref="B13:B14"/>
    <mergeCell ref="C13:C14"/>
    <mergeCell ref="D22:I22"/>
    <mergeCell ref="D23:I23"/>
    <mergeCell ref="I26:J26"/>
    <mergeCell ref="E26:F26"/>
    <mergeCell ref="G28:H28"/>
    <mergeCell ref="BS26:B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 ref="AM28:AN28"/>
    <mergeCell ref="AM26:AN26"/>
    <mergeCell ref="AM27:AN27"/>
    <mergeCell ref="AO28:AP28"/>
    <mergeCell ref="AO26:AP26"/>
    <mergeCell ref="AO27:AP27"/>
    <mergeCell ref="AQ28:AR28"/>
    <mergeCell ref="AQ26:AR26"/>
    <mergeCell ref="AQ27:AR27"/>
    <mergeCell ref="AS28:AT28"/>
    <mergeCell ref="AS26:AT26"/>
    <mergeCell ref="AS27:AT27"/>
    <mergeCell ref="AU28:AV28"/>
    <mergeCell ref="AU26:AV26"/>
    <mergeCell ref="AU27:AV27"/>
    <mergeCell ref="AW28:AX28"/>
    <mergeCell ref="AW26:AX26"/>
    <mergeCell ref="AW27:AX27"/>
    <mergeCell ref="AY28:AZ28"/>
    <mergeCell ref="AY26:AZ26"/>
    <mergeCell ref="AY27:AZ27"/>
    <mergeCell ref="BA28:BB28"/>
    <mergeCell ref="BA26:BB26"/>
    <mergeCell ref="BA27:BB27"/>
    <mergeCell ref="BC28:BD28"/>
    <mergeCell ref="BC26:BD26"/>
    <mergeCell ref="BC27:BD27"/>
    <mergeCell ref="BE28:BF28"/>
    <mergeCell ref="BE26:BF26"/>
    <mergeCell ref="BE27:BF27"/>
    <mergeCell ref="BG28:BH28"/>
    <mergeCell ref="BG26:BH26"/>
    <mergeCell ref="BG27:BH27"/>
    <mergeCell ref="BI28:BJ28"/>
    <mergeCell ref="BI26:BJ26"/>
    <mergeCell ref="BI27:BJ27"/>
    <mergeCell ref="BK28:BL28"/>
    <mergeCell ref="BK26:BL26"/>
    <mergeCell ref="BK27:BL27"/>
    <mergeCell ref="BM28:BN28"/>
    <mergeCell ref="BM26:BN26"/>
    <mergeCell ref="BM27:BN27"/>
    <mergeCell ref="BO28:BP28"/>
    <mergeCell ref="BO26:BP26"/>
    <mergeCell ref="BO27:BP27"/>
    <mergeCell ref="BQ28:BR28"/>
    <mergeCell ref="BQ26:BR26"/>
    <mergeCell ref="BQ27:BR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AM3 AM6 AM9 AM13 AO3 AO6 AO9 AO13 AQ3 AQ6 AQ9 AQ13 AS3 AS6 AS9 AS13 AU3 AU6 AU9 AU13 AW3 AW6 AW9 AW13 AY3 AY6 AY9 AY13 BA3 BA6 BA9 BA13 BC3 BC6 BC9 BC13 BE3 BE6 BE9 BE13 BG3 BG6 BG9 BG13 BI3 BI6 BI9 BI13 BK3 BK6 BK9 BK13 BM3 BM6 BM9 BM13 BO3 BO6 BO9 BO13 BQ3 BQ6 BQ9 BQ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AM4 AM7 AM10 AM11 AM14 AO4 AO7 AO10 AO11 AO14 AQ4 AQ7 AQ10 AQ11 AQ14 AS4 AS7 AS10 AS11 AS14 AU4 AU7 AU10 AU11 AU14 AW4 AW7 AW10 AW11 AW14 AY4 AY7 AY10 AY11 AY14 BA4 BA7 BA10 BA11 BA14 BC4 BC7 BC10 BC11 BC14 BE4 BE7 BE10 BE11 BE14 BG4 BG7 BG10 BG11 BG14 BI4 BI7 BI10 BI11 BI14 BK4 BK7 BK10 BK11 BK14 BM4 BM7 BM10 BM11 BM14 BO4 BO7 BO10 BO11 BO14 BQ4 BQ7 BQ10 BQ11 BQ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AN3:AN4 AP3:AP4 AR3:AR4 AT3:AT4 AV3:AV4 AX3:AX4 AZ3:AZ4 BB3:BB4 BD3:BD4 BF3:BF4 BH3:BH4 BJ3:BJ4 BL3:BL4 BN3:BN4 BP3:BP4 BR3:BR4 H6:H7 J6:J7 L6:L7 N6:N7 P6:P7 R6:R7 T6:T7 V6:V7 X6:X7 Z6:Z7 AB6:AB7 AD6:AD7 AF6:AF7 AH6:AH7 AJ6:AJ7 AL6:AL7 AN6:AN7 AP6:AP7 AR6:AR7 AT6:AT7 AV6:AV7 AX6:AX7 AZ6:AZ7 BB6:BB7 BD6:BD7 BF6:BF7 BH6:BH7 BJ6:BJ7 BL6:BL7 BN6:BN7 BP6:BP7 BR6:BR7 J9:J11 L9:L11 N9:N11 P9:P11 R9:R11 T9:T11 V9:V11 X9:X11 Z9:Z11 AB9:AB11 AD9:AD11 AF9:AF11 AH9:AH11 AJ9:AJ11 AL9:AL11 AN9:AN11 AP9:AP11 AR9:AR11 AT9:AT11 AV9:AV11 AX9:AX11 AZ9:AZ11 BB9:BB11 BD9:BD11 BF9:BF11 BH9:BH11 BJ9:BJ11 BL9:BL11 BN9:BN11 BP9:BP11 BR9:BR11 H9:H11 J13:J14 L13:L14 N13:N14 P13:P14 R13:R14 T13:T14 V13:V14 X13:X14 Z13:Z14 AB13:AB14 AD13:AD14 AF13:AF14 AH13:AH14 AJ13:AJ14 AL13:AL14 AN13:AN14 AP13:AP14 AR13:AR14 AT13:AT14 AV13:AV14 AX13:AX14 AZ13:AZ14 BB13:BB14 BD13:BD14 BF13:BF14 BH13:BH14 BJ13:BJ14 BL13:BL14 BN13:BN14 BP13:BP14 BR13:BR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AK36 AK38 AM36 AM38 AO36 AO38 AQ36 AQ38 AS36 AS38 AU36 AU38 AW36 AW38 AY36 AY38 BA36 BA38 BC36 BC38 BE36 BE38 BG36 BG38 BI36 BI38 BK36 BK38 BM36 BM38 BO36 BO38 BQ36 BQ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2DAAE-51CA-7571-785F-0.9C7EBA6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1066</v>
      </c>
      <c r="H3" s="1165"/>
      <c r="AE3" s="768">
        <v>0</v>
      </c>
    </row>
    <row customHeight="1" ht="3">
      <c r="AE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M5" s="591"/>
      <c r="AB5" s="915"/>
      <c r="AE5" s="767">
        <v>26</v>
      </c>
    </row>
    <row s="1644" customFormat="1" customHeight="1" ht="16.8">
      <c r="A6" s="1175"/>
      <c r="B6" s="1175"/>
      <c r="C6" s="1175"/>
      <c r="D6" s="1169"/>
      <c r="E6" s="1644"/>
      <c r="F6" s="2258" t="str">
        <f>IF(org=0,"Не определено",org)</f>
        <v>ООО "СамРЭК-Тепло Жигулевск"</v>
      </c>
      <c r="G6" s="2258"/>
      <c r="H6" s="2258"/>
      <c r="I6" s="2258"/>
      <c r="J6" s="2258"/>
      <c r="K6" s="2258"/>
      <c r="M6" s="591"/>
      <c r="AB6" s="1157"/>
      <c r="AE6" s="1640">
        <v>16</v>
      </c>
    </row>
    <row customHeight="1" ht="10.5">
      <c r="AE7" s="767">
        <v>10</v>
      </c>
    </row>
    <row customHeight="1" ht="10.5">
      <c r="A8" s="1060"/>
      <c r="B8" s="1060"/>
      <c r="C8" s="1060"/>
      <c r="F8" s="2110" t="s">
        <v>373</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88</v>
      </c>
      <c r="G9" s="2136" t="s">
        <v>1066</v>
      </c>
      <c r="H9" s="2184" t="s">
        <v>1067</v>
      </c>
      <c r="I9" s="2136" t="s">
        <v>1068</v>
      </c>
      <c r="J9" s="2136" t="s">
        <v>1069</v>
      </c>
      <c r="K9" s="2136" t="s">
        <v>1070</v>
      </c>
      <c r="L9" s="2136" t="s">
        <v>1071</v>
      </c>
      <c r="M9" s="2136" t="s">
        <v>1072</v>
      </c>
      <c r="N9" s="2218" t="s">
        <v>1073</v>
      </c>
      <c r="O9" s="2218"/>
      <c r="P9" s="2218"/>
      <c r="Q9" s="2408" t="s">
        <v>1074</v>
      </c>
      <c r="R9" s="2409"/>
      <c r="S9" s="2409"/>
      <c r="T9" s="2410"/>
      <c r="U9" s="2408" t="s">
        <v>1075</v>
      </c>
      <c r="V9" s="2409"/>
      <c r="W9" s="2409"/>
      <c r="X9" s="2410"/>
      <c r="Y9" s="2110" t="s">
        <v>1076</v>
      </c>
      <c r="Z9" s="2111"/>
      <c r="AA9" s="2111"/>
      <c r="AB9" s="2112"/>
      <c r="AE9" s="767">
        <v>41</v>
      </c>
    </row>
    <row customHeight="1" ht="43.050000000000004">
      <c r="A10" s="914"/>
      <c r="B10" s="914"/>
      <c r="C10" s="914"/>
      <c r="F10" s="2184"/>
      <c r="G10" s="2184"/>
      <c r="H10" s="2241"/>
      <c r="I10" s="2184"/>
      <c r="J10" s="2184"/>
      <c r="K10" s="2184"/>
      <c r="L10" s="2184"/>
      <c r="M10" s="2184"/>
      <c r="N10" s="912" t="s">
        <v>1077</v>
      </c>
      <c r="O10" s="912" t="s">
        <v>1078</v>
      </c>
      <c r="P10" s="913" t="s">
        <v>1079</v>
      </c>
      <c r="Q10" s="924" t="s">
        <v>89</v>
      </c>
      <c r="R10" s="924" t="s">
        <v>1080</v>
      </c>
      <c r="S10" s="924" t="s">
        <v>1081</v>
      </c>
      <c r="T10" s="925" t="s">
        <v>1082</v>
      </c>
      <c r="U10" s="924" t="s">
        <v>89</v>
      </c>
      <c r="V10" s="924" t="s">
        <v>1083</v>
      </c>
      <c r="W10" s="924" t="s">
        <v>1081</v>
      </c>
      <c r="X10" s="925" t="s">
        <v>1082</v>
      </c>
      <c r="Y10" s="310" t="s">
        <v>1084</v>
      </c>
      <c r="Z10" s="2110" t="s">
        <v>88</v>
      </c>
      <c r="AA10" s="2112"/>
      <c r="AB10" s="1058" t="s">
        <v>1085</v>
      </c>
      <c r="AE10" s="767">
        <v>41</v>
      </c>
    </row>
    <row s="1651" customFormat="1" customHeight="1" ht="5.25" hidden="1">
      <c r="A11" s="1061"/>
      <c r="B11" s="1061"/>
      <c r="C11" s="1061"/>
      <c r="E11" s="1059"/>
      <c r="F11" s="2415" t="s">
        <v>449</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1086</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1087</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82</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D3B947-61AD-A0C9-96F1-0.89E1EFFA}"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7"/>
      <c r="H5" s="2257"/>
      <c r="I5" s="2257"/>
      <c r="J5" s="2257"/>
      <c r="K5" s="2257"/>
      <c r="L5" s="1144"/>
      <c r="M5" s="1144"/>
      <c r="AG5" s="915"/>
      <c r="AH5" s="1157"/>
      <c r="BG5" s="767">
        <v>26</v>
      </c>
    </row>
    <row customHeight="1" ht="10.5">
      <c r="F6" s="2185" t="str">
        <f>IF(org=0,"Не определено",org)</f>
        <v>ООО "СамРЭК-Тепло Жигулевск"</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373</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1088</v>
      </c>
      <c r="G9" s="2418" t="s">
        <v>1089</v>
      </c>
      <c r="H9" s="2419"/>
      <c r="I9" s="2136" t="s">
        <v>1090</v>
      </c>
      <c r="J9" s="2136"/>
      <c r="K9" s="2136" t="s">
        <v>1091</v>
      </c>
      <c r="L9" s="2136"/>
      <c r="M9" s="2136"/>
      <c r="N9" s="2136"/>
      <c r="O9" s="2136"/>
      <c r="P9" s="2136"/>
      <c r="Q9" s="2136"/>
      <c r="R9" s="2136"/>
      <c r="S9" s="2136"/>
      <c r="T9" s="2136"/>
      <c r="U9" s="2136"/>
      <c r="V9" s="2136"/>
      <c r="W9" s="2136"/>
      <c r="X9" s="2136"/>
      <c r="Y9" s="2136"/>
      <c r="Z9" s="2201" t="s">
        <v>1092</v>
      </c>
      <c r="AA9" s="2202"/>
      <c r="AB9" s="2136" t="s">
        <v>1093</v>
      </c>
      <c r="AC9" s="2136"/>
      <c r="AD9" s="2136"/>
      <c r="AE9" s="2136"/>
      <c r="AF9" s="2184" t="s">
        <v>1094</v>
      </c>
      <c r="AG9" s="2136" t="s">
        <v>1095</v>
      </c>
      <c r="AH9" s="2136"/>
      <c r="AI9" s="2184" t="s">
        <v>1096</v>
      </c>
      <c r="AJ9" s="2136" t="s">
        <v>1097</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1098</v>
      </c>
      <c r="L10" s="2110" t="s">
        <v>1099</v>
      </c>
      <c r="M10" s="2112"/>
      <c r="N10" s="2136" t="s">
        <v>1100</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1101</v>
      </c>
      <c r="M11" s="2184" t="s">
        <v>1102</v>
      </c>
      <c r="N11" s="2136" t="s">
        <v>1103</v>
      </c>
      <c r="O11" s="2136"/>
      <c r="P11" s="2427" t="s">
        <v>1084</v>
      </c>
      <c r="Q11" s="2427" t="s">
        <v>1104</v>
      </c>
      <c r="R11" s="2427" t="s">
        <v>1105</v>
      </c>
      <c r="S11" s="2427" t="s">
        <v>1106</v>
      </c>
      <c r="T11" s="2427"/>
      <c r="U11" s="2427"/>
      <c r="V11" s="2427"/>
      <c r="W11" s="2427"/>
      <c r="X11" s="2427"/>
      <c r="Y11" s="2427"/>
      <c r="Z11" s="2203"/>
      <c r="AA11" s="2204"/>
      <c r="AB11" s="2136" t="s">
        <v>1107</v>
      </c>
      <c r="AC11" s="2136"/>
      <c r="AD11" s="2110" t="s">
        <v>1108</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89</v>
      </c>
      <c r="J12" s="1162" t="s">
        <v>1109</v>
      </c>
      <c r="K12" s="2136"/>
      <c r="L12" s="2241"/>
      <c r="M12" s="2241"/>
      <c r="N12" s="2136"/>
      <c r="O12" s="2136"/>
      <c r="P12" s="2427"/>
      <c r="Q12" s="2427"/>
      <c r="R12" s="2427"/>
      <c r="S12" s="1143" t="s">
        <v>86</v>
      </c>
      <c r="T12" s="1143" t="s">
        <v>87</v>
      </c>
      <c r="U12" s="1143" t="s">
        <v>85</v>
      </c>
      <c r="V12" s="1143" t="s">
        <v>1110</v>
      </c>
      <c r="W12" s="1143" t="s">
        <v>85</v>
      </c>
      <c r="X12" s="1143" t="s">
        <v>1111</v>
      </c>
      <c r="Y12" s="1143" t="s">
        <v>1112</v>
      </c>
      <c r="Z12" s="2209"/>
      <c r="AA12" s="2210"/>
      <c r="AB12" s="1150" t="s">
        <v>1113</v>
      </c>
      <c r="AC12" s="1150" t="s">
        <v>1114</v>
      </c>
      <c r="AD12" s="1150" t="s">
        <v>1113</v>
      </c>
      <c r="AE12" s="1150" t="s">
        <v>1114</v>
      </c>
      <c r="AF12" s="2241"/>
      <c r="AG12" s="1163" t="s">
        <v>1115</v>
      </c>
      <c r="AH12" s="1163" t="s">
        <v>1116</v>
      </c>
      <c r="AI12" s="2241"/>
      <c r="AJ12" s="1163" t="s">
        <v>1115</v>
      </c>
      <c r="AK12" s="1163" t="s">
        <v>1116</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1117</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82</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2FE25-B8B1-A48F-83A1-0.134E04C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7"/>
      <c r="H5" s="2257"/>
      <c r="I5" s="2257"/>
      <c r="J5" s="2257"/>
      <c r="W5" s="1164">
        <v>26</v>
      </c>
    </row>
    <row customHeight="1" ht="10.5">
      <c r="F6" s="2185" t="str">
        <f>IF(org=0,"Не определено",org)</f>
        <v>ООО "СамРЭК-Тепло Жигулевск"</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373</v>
      </c>
      <c r="G9" s="2429"/>
      <c r="H9" s="2429"/>
      <c r="I9" s="2429"/>
      <c r="J9" s="2429"/>
      <c r="K9" s="1249"/>
      <c r="L9" s="1166"/>
      <c r="M9" s="1166"/>
      <c r="N9" s="1166"/>
      <c r="O9" s="1166"/>
      <c r="P9" s="1166"/>
      <c r="Q9" s="1166"/>
      <c r="R9" s="1166"/>
      <c r="S9" s="1166"/>
      <c r="T9" s="1166"/>
      <c r="U9" s="1166"/>
      <c r="V9" s="1166"/>
      <c r="W9" s="1164">
        <v>10</v>
      </c>
    </row>
    <row customHeight="1" ht="25.2">
      <c r="E10" s="1166"/>
      <c r="F10" s="2432" t="s">
        <v>88</v>
      </c>
      <c r="G10" s="2437" t="s">
        <v>1118</v>
      </c>
      <c r="H10" s="2435" t="s">
        <v>1119</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1120</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1121</v>
      </c>
      <c r="G14" s="2430" t="s">
        <v>1122</v>
      </c>
      <c r="H14" s="2430"/>
      <c r="I14" s="2430"/>
      <c r="J14" s="2430"/>
      <c r="K14" s="1243"/>
      <c r="W14" s="1164">
        <v>11</v>
      </c>
    </row>
    <row customHeight="1" ht="11.549999999999999">
      <c r="F15" s="1239">
        <v>1</v>
      </c>
      <c r="G15" s="699" t="s">
        <v>1123</v>
      </c>
      <c r="H15" s="1245">
        <f>SUM(I15:J15)</f>
        <v>0</v>
      </c>
      <c r="I15" s="1245">
        <f>SUM(I16:I27)</f>
        <v>0</v>
      </c>
      <c r="J15" s="1234"/>
      <c r="K15" s="1243"/>
      <c r="W15" s="1164">
        <v>11</v>
      </c>
    </row>
    <row customHeight="1" ht="24">
      <c r="F16" s="1239" t="s">
        <v>1124</v>
      </c>
      <c r="G16" s="1246" t="s">
        <v>1125</v>
      </c>
      <c r="H16" s="1245">
        <f>SUM(I16:J16)</f>
        <v>0</v>
      </c>
      <c r="I16" s="1244"/>
      <c r="J16" s="1234"/>
      <c r="K16" s="1243"/>
      <c r="W16" s="1164">
        <v>23</v>
      </c>
    </row>
    <row customHeight="1" ht="24">
      <c r="F17" s="1239" t="s">
        <v>1126</v>
      </c>
      <c r="G17" s="1246" t="s">
        <v>1127</v>
      </c>
      <c r="H17" s="1245">
        <f>SUM(I17:J17)</f>
        <v>0</v>
      </c>
      <c r="I17" s="1244"/>
      <c r="J17" s="1234"/>
      <c r="K17" s="1243"/>
      <c r="W17" s="1164">
        <v>23</v>
      </c>
    </row>
    <row customHeight="1" ht="35.699999999999996">
      <c r="F18" s="1239" t="s">
        <v>1128</v>
      </c>
      <c r="G18" s="1246" t="s">
        <v>1129</v>
      </c>
      <c r="H18" s="1245">
        <f>SUM(I18:J18)</f>
        <v>0</v>
      </c>
      <c r="I18" s="1244"/>
      <c r="J18" s="1234"/>
      <c r="K18" s="1243"/>
      <c r="W18" s="1164">
        <v>34</v>
      </c>
    </row>
    <row customHeight="1" ht="35.699999999999996">
      <c r="F19" s="1239" t="s">
        <v>1130</v>
      </c>
      <c r="G19" s="1246" t="s">
        <v>1131</v>
      </c>
      <c r="H19" s="1245">
        <f>SUM(I19:J19)</f>
        <v>0</v>
      </c>
      <c r="I19" s="1244"/>
      <c r="J19" s="1234"/>
      <c r="K19" s="1243"/>
      <c r="W19" s="1164">
        <v>34</v>
      </c>
    </row>
    <row customHeight="1" ht="48.29999999999999">
      <c r="F20" s="1239" t="s">
        <v>1132</v>
      </c>
      <c r="G20" s="1246" t="s">
        <v>1133</v>
      </c>
      <c r="H20" s="1245">
        <f>SUM(I20:J20)</f>
        <v>0</v>
      </c>
      <c r="I20" s="1244"/>
      <c r="J20" s="1234"/>
      <c r="K20" s="1243"/>
      <c r="W20" s="1164">
        <v>46</v>
      </c>
    </row>
    <row customHeight="1" ht="35.699999999999996">
      <c r="F21" s="1239" t="s">
        <v>1134</v>
      </c>
      <c r="G21" s="1246" t="s">
        <v>1135</v>
      </c>
      <c r="H21" s="1245">
        <f>SUM(I21:J21)</f>
        <v>0</v>
      </c>
      <c r="I21" s="1244"/>
      <c r="J21" s="1234"/>
      <c r="K21" s="1243"/>
      <c r="W21" s="1164">
        <v>34</v>
      </c>
    </row>
    <row customHeight="1" ht="35.699999999999996">
      <c r="F22" s="1239" t="s">
        <v>1136</v>
      </c>
      <c r="G22" s="1246" t="s">
        <v>1137</v>
      </c>
      <c r="H22" s="1245">
        <f>SUM(I22:J22)</f>
        <v>0</v>
      </c>
      <c r="I22" s="1244"/>
      <c r="J22" s="1234"/>
      <c r="K22" s="1243"/>
      <c r="W22" s="1164">
        <v>34</v>
      </c>
    </row>
    <row customHeight="1" ht="24">
      <c r="F23" s="1239" t="s">
        <v>1138</v>
      </c>
      <c r="G23" s="1246" t="s">
        <v>1139</v>
      </c>
      <c r="H23" s="1245">
        <f>SUM(I23:J23)</f>
        <v>0</v>
      </c>
      <c r="I23" s="1244"/>
      <c r="J23" s="1234"/>
      <c r="K23" s="1243"/>
      <c r="W23" s="1164">
        <v>23</v>
      </c>
    </row>
    <row customHeight="1" ht="24">
      <c r="F24" s="1239" t="s">
        <v>1140</v>
      </c>
      <c r="G24" s="1246" t="s">
        <v>1141</v>
      </c>
      <c r="H24" s="1245">
        <f>SUM(I24:J24)</f>
        <v>0</v>
      </c>
      <c r="I24" s="1244"/>
      <c r="J24" s="1234"/>
      <c r="K24" s="1243"/>
      <c r="W24" s="1164">
        <v>23</v>
      </c>
    </row>
    <row customHeight="1" ht="35.699999999999996">
      <c r="F25" s="1239" t="s">
        <v>1142</v>
      </c>
      <c r="G25" s="1246" t="s">
        <v>1143</v>
      </c>
      <c r="H25" s="1245">
        <f>SUM(I25:J25)</f>
        <v>0</v>
      </c>
      <c r="I25" s="1244"/>
      <c r="J25" s="1234"/>
      <c r="K25" s="1243"/>
      <c r="W25" s="1164">
        <v>34</v>
      </c>
    </row>
    <row customHeight="1" ht="35.699999999999996">
      <c r="F26" s="1239" t="s">
        <v>1144</v>
      </c>
      <c r="G26" s="1246" t="s">
        <v>1145</v>
      </c>
      <c r="H26" s="1245">
        <f>SUM(I26:J26)</f>
        <v>0</v>
      </c>
      <c r="I26" s="1244"/>
      <c r="J26" s="1234"/>
      <c r="K26" s="1243"/>
      <c r="W26" s="1164">
        <v>34</v>
      </c>
    </row>
    <row customHeight="1" ht="11.549999999999999">
      <c r="F27" s="1239" t="s">
        <v>1146</v>
      </c>
      <c r="G27" s="1246" t="s">
        <v>1147</v>
      </c>
      <c r="H27" s="1245">
        <f>SUM(I27:J27)</f>
        <v>0</v>
      </c>
      <c r="I27" s="1244"/>
      <c r="J27" s="1234"/>
      <c r="K27" s="1243"/>
      <c r="W27" s="1164">
        <v>11</v>
      </c>
    </row>
    <row customHeight="1" ht="11.549999999999999">
      <c r="F28" s="1239">
        <v>2</v>
      </c>
      <c r="G28" s="699" t="s">
        <v>1148</v>
      </c>
      <c r="H28" s="1245">
        <f>SUM(I28:J28)</f>
        <v>0</v>
      </c>
      <c r="I28" s="1245">
        <f>SUM(I29:I31)</f>
        <v>0</v>
      </c>
      <c r="J28" s="1234"/>
      <c r="K28" s="1243"/>
      <c r="W28" s="1164">
        <v>11</v>
      </c>
    </row>
    <row customHeight="1" ht="11.549999999999999">
      <c r="F29" s="1239" t="s">
        <v>811</v>
      </c>
      <c r="G29" s="1246" t="s">
        <v>1149</v>
      </c>
      <c r="H29" s="1245">
        <f>SUM(I29:J29)</f>
        <v>0</v>
      </c>
      <c r="I29" s="1244"/>
      <c r="J29" s="1234"/>
      <c r="K29" s="1243"/>
      <c r="W29" s="1164">
        <v>11</v>
      </c>
    </row>
    <row customHeight="1" ht="11.549999999999999">
      <c r="F30" s="1239" t="s">
        <v>380</v>
      </c>
      <c r="G30" s="1246" t="s">
        <v>1150</v>
      </c>
      <c r="H30" s="1245">
        <f>SUM(I30:J30)</f>
        <v>0</v>
      </c>
      <c r="I30" s="1244"/>
      <c r="J30" s="1234"/>
      <c r="K30" s="1243"/>
      <c r="W30" s="1164">
        <v>11</v>
      </c>
    </row>
    <row customHeight="1" ht="11.549999999999999">
      <c r="F31" s="1239" t="s">
        <v>383</v>
      </c>
      <c r="G31" s="1246" t="s">
        <v>1151</v>
      </c>
      <c r="H31" s="1245">
        <f>SUM(I31:J31)</f>
        <v>0</v>
      </c>
      <c r="I31" s="1244"/>
      <c r="J31" s="1234"/>
      <c r="K31" s="1243"/>
      <c r="W31" s="1164">
        <v>11</v>
      </c>
    </row>
    <row customHeight="1" ht="11.549999999999999">
      <c r="F32" s="1239">
        <v>3</v>
      </c>
      <c r="G32" s="699" t="s">
        <v>1152</v>
      </c>
      <c r="H32" s="1245">
        <f>SUM(I32:J32)</f>
        <v>0</v>
      </c>
      <c r="I32" s="1245">
        <f>SUM(I33:I34)</f>
        <v>0</v>
      </c>
      <c r="J32" s="1234"/>
      <c r="K32" s="1243"/>
      <c r="W32" s="1164">
        <v>11</v>
      </c>
    </row>
    <row customHeight="1" ht="48.29999999999999">
      <c r="F33" s="1239" t="s">
        <v>397</v>
      </c>
      <c r="G33" s="1246" t="s">
        <v>1153</v>
      </c>
      <c r="H33" s="1245">
        <f>SUM(I33:J33)</f>
        <v>0</v>
      </c>
      <c r="I33" s="1244"/>
      <c r="J33" s="1234"/>
      <c r="K33" s="1243"/>
      <c r="W33" s="1164">
        <v>46</v>
      </c>
    </row>
    <row customHeight="1" ht="11.549999999999999">
      <c r="F34" s="1239" t="s">
        <v>405</v>
      </c>
      <c r="G34" s="1246" t="s">
        <v>1154</v>
      </c>
      <c r="H34" s="1245">
        <f>SUM(I34:J34)</f>
        <v>0</v>
      </c>
      <c r="I34" s="1244"/>
      <c r="J34" s="1234"/>
      <c r="K34" s="1243"/>
      <c r="W34" s="1164">
        <v>11</v>
      </c>
    </row>
    <row customHeight="1" ht="11.549999999999999">
      <c r="F35" s="1239">
        <v>4</v>
      </c>
      <c r="G35" s="699" t="s">
        <v>1155</v>
      </c>
      <c r="H35" s="1245">
        <f>SUM(I35:J35)</f>
        <v>0</v>
      </c>
      <c r="I35" s="1244"/>
      <c r="J35" s="1234"/>
      <c r="K35" s="1243"/>
      <c r="W35" s="1164">
        <v>11</v>
      </c>
    </row>
    <row customHeight="1" ht="11.549999999999999">
      <c r="F36" s="1239"/>
      <c r="G36" s="702" t="s">
        <v>1156</v>
      </c>
      <c r="H36" s="1245">
        <f>SUM(I36:J36)</f>
        <v>0</v>
      </c>
      <c r="I36" s="1245">
        <f>SUM(I15,I28,I32,I35)</f>
        <v>0</v>
      </c>
      <c r="J36" s="1234"/>
      <c r="K36" s="1243"/>
      <c r="W36" s="1164">
        <v>11</v>
      </c>
    </row>
    <row customHeight="1" ht="29.25">
      <c r="F37" s="1240" t="s">
        <v>1157</v>
      </c>
      <c r="G37" s="2431" t="s">
        <v>1158</v>
      </c>
      <c r="H37" s="2431"/>
      <c r="I37" s="2431"/>
      <c r="J37" s="2431"/>
      <c r="K37" s="1243"/>
      <c r="W37" s="1164">
        <v>28</v>
      </c>
    </row>
    <row customHeight="1" ht="24">
      <c r="F38" s="1239" t="s">
        <v>109</v>
      </c>
      <c r="G38" s="699" t="s">
        <v>1159</v>
      </c>
      <c r="H38" s="1245">
        <f>SUM(I38:J38)</f>
        <v>0</v>
      </c>
      <c r="I38" s="1245">
        <f>SUM(I39,I44,I47)</f>
        <v>0</v>
      </c>
      <c r="J38" s="1234"/>
      <c r="K38" s="1243"/>
      <c r="W38" s="1164">
        <v>23</v>
      </c>
    </row>
    <row customHeight="1" ht="11.549999999999999">
      <c r="F39" s="1239" t="s">
        <v>1124</v>
      </c>
      <c r="G39" s="1246" t="s">
        <v>1123</v>
      </c>
      <c r="H39" s="1245">
        <f>SUM(I39:J39)</f>
        <v>0</v>
      </c>
      <c r="I39" s="1245">
        <f>SUM(I40:I43)</f>
        <v>0</v>
      </c>
      <c r="J39" s="1234"/>
      <c r="K39" s="1243"/>
      <c r="W39" s="1164">
        <v>11</v>
      </c>
    </row>
    <row customHeight="1" ht="24">
      <c r="F40" s="1239" t="s">
        <v>1160</v>
      </c>
      <c r="G40" s="1247" t="s">
        <v>1161</v>
      </c>
      <c r="H40" s="1245">
        <f>SUM(I40:J40)</f>
        <v>0</v>
      </c>
      <c r="I40" s="1244"/>
      <c r="J40" s="1234"/>
      <c r="K40" s="1243"/>
      <c r="W40" s="1164">
        <v>23</v>
      </c>
    </row>
    <row customHeight="1" ht="11.549999999999999">
      <c r="F41" s="1239" t="s">
        <v>1162</v>
      </c>
      <c r="G41" s="1247" t="s">
        <v>1163</v>
      </c>
      <c r="H41" s="1245">
        <f>SUM(I41:J41)</f>
        <v>0</v>
      </c>
      <c r="I41" s="1244"/>
      <c r="J41" s="1234"/>
      <c r="K41" s="1243"/>
      <c r="W41" s="1164">
        <v>11</v>
      </c>
    </row>
    <row customHeight="1" ht="11.549999999999999">
      <c r="F42" s="1239" t="s">
        <v>1164</v>
      </c>
      <c r="G42" s="1247" t="s">
        <v>1165</v>
      </c>
      <c r="H42" s="1245">
        <f>SUM(I42:J42)</f>
        <v>0</v>
      </c>
      <c r="I42" s="1244"/>
      <c r="J42" s="1234"/>
      <c r="K42" s="1243"/>
      <c r="W42" s="1164">
        <v>11</v>
      </c>
    </row>
    <row customHeight="1" ht="35.699999999999996">
      <c r="F43" s="1239" t="s">
        <v>1166</v>
      </c>
      <c r="G43" s="1247" t="s">
        <v>1167</v>
      </c>
      <c r="H43" s="1245">
        <f>SUM(I43:J43)</f>
        <v>0</v>
      </c>
      <c r="I43" s="1244"/>
      <c r="J43" s="1234"/>
      <c r="K43" s="1243"/>
      <c r="W43" s="1164">
        <v>34</v>
      </c>
    </row>
    <row customHeight="1" ht="11.549999999999999">
      <c r="F44" s="1239" t="s">
        <v>1126</v>
      </c>
      <c r="G44" s="1246" t="s">
        <v>1152</v>
      </c>
      <c r="H44" s="1245">
        <f>SUM(I44:J44)</f>
        <v>0</v>
      </c>
      <c r="I44" s="1245">
        <f>SUM(I45:I46)</f>
        <v>0</v>
      </c>
      <c r="J44" s="1234"/>
      <c r="K44" s="1243"/>
      <c r="W44" s="1164">
        <v>11</v>
      </c>
    </row>
    <row customHeight="1" ht="48.29999999999999">
      <c r="F45" s="1239" t="s">
        <v>1168</v>
      </c>
      <c r="G45" s="1247" t="s">
        <v>1153</v>
      </c>
      <c r="H45" s="1245">
        <f>SUM(I45:J45)</f>
        <v>0</v>
      </c>
      <c r="I45" s="1244"/>
      <c r="J45" s="1234"/>
      <c r="K45" s="1243"/>
      <c r="W45" s="1164">
        <v>46</v>
      </c>
    </row>
    <row customHeight="1" ht="11.549999999999999">
      <c r="F46" s="1239" t="s">
        <v>1169</v>
      </c>
      <c r="G46" s="1247" t="s">
        <v>1154</v>
      </c>
      <c r="H46" s="1245">
        <f>SUM(I46:J46)</f>
        <v>0</v>
      </c>
      <c r="I46" s="1244"/>
      <c r="J46" s="1234"/>
      <c r="K46" s="1243"/>
      <c r="W46" s="1164">
        <v>11</v>
      </c>
    </row>
    <row customHeight="1" ht="11.549999999999999">
      <c r="F47" s="1239" t="s">
        <v>1128</v>
      </c>
      <c r="G47" s="1246" t="s">
        <v>1170</v>
      </c>
      <c r="H47" s="1245">
        <f>SUM(I47:J47)</f>
        <v>0</v>
      </c>
      <c r="I47" s="1244"/>
      <c r="J47" s="1234"/>
      <c r="K47" s="1243"/>
      <c r="W47" s="1164">
        <v>11</v>
      </c>
    </row>
    <row customHeight="1" ht="24">
      <c r="F48" s="1239" t="s">
        <v>110</v>
      </c>
      <c r="G48" s="699" t="s">
        <v>1171</v>
      </c>
      <c r="H48" s="1245">
        <f>SUM(I48:J48)</f>
        <v>0</v>
      </c>
      <c r="I48" s="1245">
        <f>SUM(I49,I54,I57)</f>
        <v>0</v>
      </c>
      <c r="J48" s="1234"/>
      <c r="K48" s="1243"/>
      <c r="W48" s="1164">
        <v>23</v>
      </c>
    </row>
    <row customHeight="1" ht="11.549999999999999">
      <c r="F49" s="1239" t="s">
        <v>811</v>
      </c>
      <c r="G49" s="1246" t="s">
        <v>1123</v>
      </c>
      <c r="H49" s="1245">
        <f>SUM(I49:J49)</f>
        <v>0</v>
      </c>
      <c r="I49" s="1245">
        <f>SUM(I50:I53)</f>
        <v>0</v>
      </c>
      <c r="J49" s="1234"/>
      <c r="K49" s="1243"/>
      <c r="W49" s="1164">
        <v>11</v>
      </c>
    </row>
    <row customHeight="1" ht="24">
      <c r="F50" s="1239" t="s">
        <v>814</v>
      </c>
      <c r="G50" s="1247" t="s">
        <v>1161</v>
      </c>
      <c r="H50" s="1245">
        <f>SUM(I50:J50)</f>
        <v>0</v>
      </c>
      <c r="I50" s="1244"/>
      <c r="J50" s="1234"/>
      <c r="K50" s="1243"/>
      <c r="W50" s="1164">
        <v>23</v>
      </c>
    </row>
    <row customHeight="1" ht="11.549999999999999">
      <c r="F51" s="1239" t="s">
        <v>817</v>
      </c>
      <c r="G51" s="1247" t="s">
        <v>1163</v>
      </c>
      <c r="H51" s="1245">
        <f>SUM(I51:J51)</f>
        <v>0</v>
      </c>
      <c r="I51" s="1244"/>
      <c r="J51" s="1234"/>
      <c r="K51" s="1243"/>
      <c r="W51" s="1164">
        <v>11</v>
      </c>
    </row>
    <row customHeight="1" ht="11.549999999999999">
      <c r="F52" s="1239" t="s">
        <v>1172</v>
      </c>
      <c r="G52" s="1247" t="s">
        <v>1165</v>
      </c>
      <c r="H52" s="1245">
        <f>SUM(I52:J52)</f>
        <v>0</v>
      </c>
      <c r="I52" s="1244"/>
      <c r="J52" s="1234"/>
      <c r="K52" s="1243"/>
      <c r="W52" s="1164">
        <v>11</v>
      </c>
    </row>
    <row customHeight="1" ht="35.699999999999996">
      <c r="F53" s="1239" t="s">
        <v>1173</v>
      </c>
      <c r="G53" s="1247" t="s">
        <v>1167</v>
      </c>
      <c r="H53" s="1245">
        <f>SUM(I53:J53)</f>
        <v>0</v>
      </c>
      <c r="I53" s="1244"/>
      <c r="J53" s="1234"/>
      <c r="K53" s="1243"/>
      <c r="W53" s="1164">
        <v>34</v>
      </c>
    </row>
    <row customHeight="1" ht="11.549999999999999">
      <c r="F54" s="1239" t="s">
        <v>380</v>
      </c>
      <c r="G54" s="1246" t="s">
        <v>1152</v>
      </c>
      <c r="H54" s="1245">
        <f>SUM(I54:J54)</f>
        <v>0</v>
      </c>
      <c r="I54" s="1245">
        <f>SUM(I55:I56)</f>
        <v>0</v>
      </c>
      <c r="J54" s="1234"/>
      <c r="K54" s="1243"/>
      <c r="W54" s="1164">
        <v>11</v>
      </c>
    </row>
    <row customHeight="1" ht="48.29999999999999">
      <c r="F55" s="1239" t="s">
        <v>821</v>
      </c>
      <c r="G55" s="1247" t="s">
        <v>1153</v>
      </c>
      <c r="H55" s="1245">
        <f>SUM(I55:J55)</f>
        <v>0</v>
      </c>
      <c r="I55" s="1244"/>
      <c r="J55" s="1234"/>
      <c r="K55" s="1243"/>
      <c r="W55" s="1164">
        <v>46</v>
      </c>
    </row>
    <row customHeight="1" ht="11.549999999999999">
      <c r="F56" s="1239" t="s">
        <v>823</v>
      </c>
      <c r="G56" s="1247" t="s">
        <v>1154</v>
      </c>
      <c r="H56" s="1245">
        <f>SUM(I56:J56)</f>
        <v>0</v>
      </c>
      <c r="I56" s="1244"/>
      <c r="J56" s="1234"/>
      <c r="K56" s="1243"/>
      <c r="W56" s="1164">
        <v>11</v>
      </c>
    </row>
    <row customHeight="1" ht="11.549999999999999">
      <c r="F57" s="1239" t="s">
        <v>383</v>
      </c>
      <c r="G57" s="1246" t="s">
        <v>1170</v>
      </c>
      <c r="H57" s="1245">
        <f>SUM(I57:J57)</f>
        <v>0</v>
      </c>
      <c r="I57" s="1244"/>
      <c r="J57" s="1234"/>
      <c r="K57" s="1243"/>
      <c r="W57" s="1164">
        <v>11</v>
      </c>
    </row>
    <row customHeight="1" ht="11.549999999999999">
      <c r="F58" s="1239"/>
      <c r="G58" s="1248" t="s">
        <v>1156</v>
      </c>
      <c r="H58" s="1245">
        <f>SUM(I58:J58)</f>
        <v>0</v>
      </c>
      <c r="I58" s="1245">
        <f>SUM(I38,I48)</f>
        <v>0</v>
      </c>
      <c r="J58" s="1234"/>
      <c r="K58" s="1243"/>
      <c r="W58" s="1164">
        <v>11</v>
      </c>
    </row>
    <row customHeight="1" ht="10.5" hidden="1">
      <c r="A59" s="1175" t="s">
        <v>82</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268AD-2157-C2C4-FB5A-0.6A920D12}"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customWidth="1"/>
    <col min="29" max="71" style="1072" width="0.8515625" customWidth="1"/>
    <col min="72" max="79" style="1072" width="21.7109375" hidden="1" customWidth="1"/>
    <col min="80" max="81" style="1072" width="29.140625" hidden="1" customWidth="1"/>
    <col min="82" max="89" style="1072" width="21.7109375" hidden="1" customWidth="1"/>
    <col min="90" max="102" style="1072" width="0.7109375" hidden="1"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ООО "СамРЭК-Тепло Жигулевск"</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1174</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1175</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373</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88</v>
      </c>
      <c r="G11" s="2214" t="s">
        <v>1176</v>
      </c>
      <c r="H11" s="2446" t="s">
        <v>1177</v>
      </c>
      <c r="I11" s="2446" t="s">
        <v>1178</v>
      </c>
      <c r="J11" s="2447"/>
      <c r="K11" s="2447"/>
      <c r="L11" s="2447"/>
      <c r="M11" s="2447"/>
      <c r="N11" s="2447"/>
      <c r="O11" s="2218" t="s">
        <v>1179</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1179</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1179</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1180</v>
      </c>
      <c r="P12" s="2218"/>
      <c r="Q12" s="2218"/>
      <c r="R12" s="2218"/>
      <c r="S12" s="2218" t="s">
        <v>1181</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1182</v>
      </c>
      <c r="BU12" s="2396"/>
      <c r="BV12" s="2396"/>
      <c r="BW12" s="2442"/>
      <c r="BX12" s="2395" t="s">
        <v>1183</v>
      </c>
      <c r="BY12" s="2396"/>
      <c r="BZ12" s="2396"/>
      <c r="CA12" s="2442"/>
      <c r="CB12" s="2395" t="s">
        <v>1184</v>
      </c>
      <c r="CC12" s="2442"/>
      <c r="CD12" s="2395" t="s">
        <v>1185</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1186</v>
      </c>
      <c r="CZ12" s="2396"/>
      <c r="DA12" s="2396"/>
      <c r="DB12" s="2396"/>
      <c r="DC12" s="2396"/>
      <c r="DD12" s="2442"/>
      <c r="DE12" s="2395" t="s">
        <v>1187</v>
      </c>
      <c r="DF12" s="2442"/>
      <c r="DG12" s="2395" t="s">
        <v>1185</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1188</v>
      </c>
      <c r="P13" s="2218"/>
      <c r="Q13" s="2218"/>
      <c r="R13" s="2218"/>
      <c r="S13" s="2345" t="s">
        <v>1189</v>
      </c>
      <c r="T13" s="2397"/>
      <c r="U13" s="2136" t="s">
        <v>1190</v>
      </c>
      <c r="V13" s="2136"/>
      <c r="W13" s="2136"/>
      <c r="X13" s="2136"/>
      <c r="Y13" s="2136" t="s">
        <v>1191</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1192</v>
      </c>
      <c r="BU13" s="2397"/>
      <c r="BV13" s="2345" t="s">
        <v>1193</v>
      </c>
      <c r="BW13" s="2397"/>
      <c r="BX13" s="2345" t="s">
        <v>1194</v>
      </c>
      <c r="BY13" s="2397"/>
      <c r="BZ13" s="2345" t="s">
        <v>1195</v>
      </c>
      <c r="CA13" s="2397"/>
      <c r="CB13" s="2345" t="s">
        <v>1196</v>
      </c>
      <c r="CC13" s="2397"/>
      <c r="CD13" s="2345" t="s">
        <v>1197</v>
      </c>
      <c r="CE13" s="2397"/>
      <c r="CF13" s="2345" t="s">
        <v>1198</v>
      </c>
      <c r="CG13" s="2397"/>
      <c r="CH13" s="2395" t="s">
        <v>1199</v>
      </c>
      <c r="CI13" s="2396"/>
      <c r="CJ13" s="2396"/>
      <c r="CK13" s="2442"/>
      <c r="CL13" s="2445"/>
      <c r="CM13" s="2443"/>
      <c r="CN13" s="2443"/>
      <c r="CO13" s="2443"/>
      <c r="CP13" s="2443"/>
      <c r="CQ13" s="2443"/>
      <c r="CR13" s="2443"/>
      <c r="CS13" s="2443"/>
      <c r="CT13" s="2443"/>
      <c r="CU13" s="2443"/>
      <c r="CV13" s="2443"/>
      <c r="CW13" s="2443"/>
      <c r="CX13" s="2462"/>
      <c r="CY13" s="2345" t="s">
        <v>1200</v>
      </c>
      <c r="CZ13" s="2397"/>
      <c r="DA13" s="2345" t="s">
        <v>1201</v>
      </c>
      <c r="DB13" s="2397"/>
      <c r="DC13" s="2345" t="s">
        <v>1202</v>
      </c>
      <c r="DD13" s="2397"/>
      <c r="DE13" s="2345" t="s">
        <v>1203</v>
      </c>
      <c r="DF13" s="2397"/>
      <c r="DG13" s="2395" t="s">
        <v>1204</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1205</v>
      </c>
      <c r="P14" s="2397"/>
      <c r="Q14" s="2345" t="s">
        <v>1206</v>
      </c>
      <c r="R14" s="2397"/>
      <c r="S14" s="2346"/>
      <c r="T14" s="2222"/>
      <c r="U14" s="2345" t="s">
        <v>938</v>
      </c>
      <c r="V14" s="2397"/>
      <c r="W14" s="2345" t="s">
        <v>941</v>
      </c>
      <c r="X14" s="2397"/>
      <c r="Y14" s="2345" t="s">
        <v>938</v>
      </c>
      <c r="Z14" s="2397"/>
      <c r="AA14" s="2345" t="s">
        <v>948</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1207</v>
      </c>
      <c r="CI14" s="2397"/>
      <c r="CJ14" s="2345" t="s">
        <v>1208</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1209</v>
      </c>
      <c r="DH14" s="2397"/>
      <c r="DI14" s="2345" t="s">
        <v>1210</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928</v>
      </c>
      <c r="P16" s="2442"/>
      <c r="Q16" s="2395" t="s">
        <v>930</v>
      </c>
      <c r="R16" s="2442"/>
      <c r="S16" s="2395" t="s">
        <v>934</v>
      </c>
      <c r="T16" s="2442"/>
      <c r="U16" s="2395" t="s">
        <v>939</v>
      </c>
      <c r="V16" s="2442"/>
      <c r="W16" s="2395" t="s">
        <v>942</v>
      </c>
      <c r="X16" s="2442"/>
      <c r="Y16" s="2395" t="s">
        <v>946</v>
      </c>
      <c r="Z16" s="2442"/>
      <c r="AA16" s="2395" t="s">
        <v>949</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631</v>
      </c>
      <c r="BU16" s="2442"/>
      <c r="BV16" s="2395" t="s">
        <v>631</v>
      </c>
      <c r="BW16" s="2442"/>
      <c r="BX16" s="2395" t="s">
        <v>631</v>
      </c>
      <c r="BY16" s="2442"/>
      <c r="BZ16" s="2395" t="s">
        <v>631</v>
      </c>
      <c r="CA16" s="2442"/>
      <c r="CB16" s="2395" t="s">
        <v>1211</v>
      </c>
      <c r="CC16" s="2442"/>
      <c r="CD16" s="2395" t="s">
        <v>631</v>
      </c>
      <c r="CE16" s="2442"/>
      <c r="CF16" s="2395" t="s">
        <v>1212</v>
      </c>
      <c r="CG16" s="2442"/>
      <c r="CH16" s="2395" t="s">
        <v>1213</v>
      </c>
      <c r="CI16" s="2442"/>
      <c r="CJ16" s="2395" t="s">
        <v>1213</v>
      </c>
      <c r="CK16" s="2442"/>
      <c r="CL16" s="2445"/>
      <c r="CM16" s="2443"/>
      <c r="CN16" s="2443"/>
      <c r="CO16" s="2443"/>
      <c r="CP16" s="2443"/>
      <c r="CQ16" s="2443"/>
      <c r="CR16" s="2443"/>
      <c r="CS16" s="2443"/>
      <c r="CT16" s="2443"/>
      <c r="CU16" s="2443"/>
      <c r="CV16" s="2443"/>
      <c r="CW16" s="2443"/>
      <c r="CX16" s="2462"/>
      <c r="CY16" s="2345" t="s">
        <v>631</v>
      </c>
      <c r="CZ16" s="2397"/>
      <c r="DA16" s="2345" t="s">
        <v>631</v>
      </c>
      <c r="DB16" s="2397"/>
      <c r="DC16" s="2345" t="s">
        <v>631</v>
      </c>
      <c r="DD16" s="2397"/>
      <c r="DE16" s="2395" t="s">
        <v>1211</v>
      </c>
      <c r="DF16" s="2442"/>
      <c r="DG16" s="2395" t="s">
        <v>1214</v>
      </c>
      <c r="DH16" s="2442"/>
      <c r="DI16" s="2395" t="s">
        <v>1214</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1215</v>
      </c>
      <c r="P17" s="1200" t="s">
        <v>1216</v>
      </c>
      <c r="Q17" s="1200" t="s">
        <v>1215</v>
      </c>
      <c r="R17" s="1200" t="s">
        <v>1216</v>
      </c>
      <c r="S17" s="1200" t="s">
        <v>1215</v>
      </c>
      <c r="T17" s="1200" t="s">
        <v>1216</v>
      </c>
      <c r="U17" s="1200" t="s">
        <v>1215</v>
      </c>
      <c r="V17" s="1200" t="s">
        <v>1216</v>
      </c>
      <c r="W17" s="1200" t="s">
        <v>1215</v>
      </c>
      <c r="X17" s="1200" t="s">
        <v>1216</v>
      </c>
      <c r="Y17" s="1200" t="s">
        <v>1215</v>
      </c>
      <c r="Z17" s="1200" t="s">
        <v>1216</v>
      </c>
      <c r="AA17" s="1200" t="s">
        <v>1215</v>
      </c>
      <c r="AB17" s="1200" t="s">
        <v>1216</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1215</v>
      </c>
      <c r="BU17" s="1200" t="s">
        <v>1216</v>
      </c>
      <c r="BV17" s="1200" t="s">
        <v>1215</v>
      </c>
      <c r="BW17" s="1200" t="s">
        <v>1216</v>
      </c>
      <c r="BX17" s="1200" t="s">
        <v>1215</v>
      </c>
      <c r="BY17" s="1200" t="s">
        <v>1216</v>
      </c>
      <c r="BZ17" s="1200" t="s">
        <v>1215</v>
      </c>
      <c r="CA17" s="1200" t="s">
        <v>1216</v>
      </c>
      <c r="CB17" s="1200" t="s">
        <v>1215</v>
      </c>
      <c r="CC17" s="1200" t="s">
        <v>1216</v>
      </c>
      <c r="CD17" s="1200" t="s">
        <v>1215</v>
      </c>
      <c r="CE17" s="1200" t="s">
        <v>1216</v>
      </c>
      <c r="CF17" s="1200" t="s">
        <v>1215</v>
      </c>
      <c r="CG17" s="1200" t="s">
        <v>1216</v>
      </c>
      <c r="CH17" s="1200" t="s">
        <v>1215</v>
      </c>
      <c r="CI17" s="1200" t="s">
        <v>1216</v>
      </c>
      <c r="CJ17" s="1200" t="s">
        <v>1215</v>
      </c>
      <c r="CK17" s="1200" t="s">
        <v>1216</v>
      </c>
      <c r="CL17" s="2445"/>
      <c r="CM17" s="2443"/>
      <c r="CN17" s="2443"/>
      <c r="CO17" s="2443"/>
      <c r="CP17" s="2443"/>
      <c r="CQ17" s="2443"/>
      <c r="CR17" s="2443"/>
      <c r="CS17" s="2443"/>
      <c r="CT17" s="2443"/>
      <c r="CU17" s="2443"/>
      <c r="CV17" s="2443"/>
      <c r="CW17" s="2443"/>
      <c r="CX17" s="2462"/>
      <c r="CY17" s="1200" t="s">
        <v>1215</v>
      </c>
      <c r="CZ17" s="1200" t="s">
        <v>1216</v>
      </c>
      <c r="DA17" s="1200" t="s">
        <v>1215</v>
      </c>
      <c r="DB17" s="1200" t="s">
        <v>1216</v>
      </c>
      <c r="DC17" s="1200" t="s">
        <v>1215</v>
      </c>
      <c r="DD17" s="1200" t="s">
        <v>1216</v>
      </c>
      <c r="DE17" s="1200" t="s">
        <v>1215</v>
      </c>
      <c r="DF17" s="1200" t="s">
        <v>1216</v>
      </c>
      <c r="DG17" s="1200" t="s">
        <v>1215</v>
      </c>
      <c r="DH17" s="1200" t="s">
        <v>1216</v>
      </c>
      <c r="DI17" s="1200" t="s">
        <v>1215</v>
      </c>
      <c r="DJ17" s="1200" t="s">
        <v>1216</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449</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82</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57E71-40FD-9C94-2729-0.5549DF35}" mc:Ignorable="x14ac xr xr2 xr3">
  <sheetPr>
    <tabColor theme="2" tint="-0.1"/>
  </sheetPr>
  <dimension ref="A1:AW23"/>
  <sheetViews>
    <sheetView topLeftCell="C4" showGridLines="0" zoomScale="80" workbookViewId="0" tabSelected="1">
      <selection activeCell="H21" sqref="H2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38" style="1644" width="42.421875" customWidth="1"/>
    <col min="39" max="39" style="1375" width="93.00390625" customWidth="1"/>
    <col min="40" max="47" style="1644" width="10.00390625" customWidth="1"/>
    <col min="48" max="48" style="684" width="10.00390625" customWidth="1"/>
    <col min="49" max="49" style="1644" width="10.57421875" hidden="1"/>
  </cols>
  <sheetData>
    <row s="1375" customFormat="1" customHeight="1" ht="15" hidden="1">
      <c r="C1" s="681"/>
      <c r="H1" s="426">
        <v>4</v>
      </c>
      <c r="I1" s="1375"/>
      <c r="J1" s="1375"/>
      <c r="K1" s="1375"/>
      <c r="L1" s="1375"/>
      <c r="M1" s="1375"/>
      <c r="N1" s="1375"/>
      <c r="O1" s="1375"/>
      <c r="P1" s="1375"/>
      <c r="Q1" s="1375"/>
      <c r="R1" s="1375"/>
      <c r="S1" s="1375"/>
      <c r="T1" s="1375"/>
      <c r="U1" s="1375"/>
      <c r="V1" s="1375"/>
      <c r="W1" s="1375"/>
      <c r="X1" s="1375"/>
      <c r="Y1" s="1375"/>
      <c r="Z1" s="1375"/>
      <c r="AA1" s="1375"/>
      <c r="AB1" s="1375"/>
      <c r="AC1" s="1375"/>
      <c r="AD1" s="1375"/>
      <c r="AE1" s="1375"/>
      <c r="AF1" s="1375"/>
      <c r="AG1" s="1375"/>
      <c r="AH1" s="1375"/>
      <c r="AI1" s="1375"/>
      <c r="AJ1" s="1375"/>
      <c r="AK1" s="1375"/>
      <c r="AL1" s="1375"/>
      <c r="AV1" s="429"/>
      <c r="AW1" s="426" t="s">
        <v>14</v>
      </c>
    </row>
    <row customHeight="1" ht="22.5" hidden="1">
      <c r="C2" s="1937" t="s">
        <v>121</v>
      </c>
      <c r="D2" s="548"/>
      <c r="E2" s="672"/>
      <c r="F2" s="1770" t="str">
        <f>IF(TEMPLATE_SPHERE="HEAT","Гкал/час","тыс. куб. м/сутки")</f>
        <v>Гкал/час</v>
      </c>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689"/>
      <c r="AI2" s="689"/>
      <c r="AJ2" s="689"/>
      <c r="AK2" s="689"/>
      <c r="AL2" s="689"/>
      <c r="AM2" s="298"/>
      <c r="AW2" s="514">
        <v>0</v>
      </c>
    </row>
    <row s="1375" customFormat="1" customHeight="1" ht="15" hidden="1">
      <c r="C3" s="681"/>
      <c r="I3" s="1375"/>
      <c r="J3" s="1375"/>
      <c r="K3" s="1375"/>
      <c r="L3" s="1375"/>
      <c r="M3" s="1375"/>
      <c r="N3" s="1375"/>
      <c r="O3" s="1375"/>
      <c r="P3" s="1375"/>
      <c r="Q3" s="1375"/>
      <c r="R3" s="1375"/>
      <c r="S3" s="1375"/>
      <c r="T3" s="1375"/>
      <c r="U3" s="1375"/>
      <c r="V3" s="1375"/>
      <c r="W3" s="1375"/>
      <c r="X3" s="1375"/>
      <c r="Y3" s="1375"/>
      <c r="Z3" s="1375"/>
      <c r="AA3" s="1375"/>
      <c r="AB3" s="1375"/>
      <c r="AC3" s="1375"/>
      <c r="AD3" s="1375"/>
      <c r="AE3" s="1375"/>
      <c r="AF3" s="1375"/>
      <c r="AG3" s="1375"/>
      <c r="AH3" s="1375"/>
      <c r="AI3" s="1375"/>
      <c r="AJ3" s="1375"/>
      <c r="AK3" s="1375"/>
      <c r="AL3" s="1375"/>
      <c r="AV3" s="429"/>
      <c r="AW3" s="426">
        <v>0</v>
      </c>
    </row>
    <row customHeight="1" ht="15.75">
      <c r="C4" s="185"/>
      <c r="D4" s="518"/>
      <c r="E4" s="518"/>
      <c r="F4" s="518"/>
      <c r="G4" s="518"/>
      <c r="H4" s="518"/>
      <c r="I4" s="1644"/>
      <c r="J4" s="1644"/>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W4" s="514">
        <v>15</v>
      </c>
    </row>
    <row customHeight="1" ht="39.75">
      <c r="C5" s="185"/>
      <c r="D5" s="224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6"/>
      <c r="F5" s="2246"/>
      <c r="G5" s="2246"/>
      <c r="H5" s="2246"/>
      <c r="I5" s="2257"/>
      <c r="J5" s="2257"/>
      <c r="K5" s="2257"/>
      <c r="L5" s="2257"/>
      <c r="M5" s="2257"/>
      <c r="N5" s="2257"/>
      <c r="O5" s="2257"/>
      <c r="P5" s="2257"/>
      <c r="Q5" s="2257"/>
      <c r="R5" s="2257"/>
      <c r="S5" s="2257"/>
      <c r="T5" s="2257"/>
      <c r="U5" s="2257"/>
      <c r="V5" s="2257"/>
      <c r="W5" s="2257"/>
      <c r="X5" s="2257"/>
      <c r="Y5" s="2257"/>
      <c r="Z5" s="2257"/>
      <c r="AA5" s="2257"/>
      <c r="AB5" s="2257"/>
      <c r="AC5" s="2257"/>
      <c r="AD5" s="2257"/>
      <c r="AE5" s="2257"/>
      <c r="AF5" s="2257"/>
      <c r="AG5" s="2257"/>
      <c r="AH5" s="2257"/>
      <c r="AI5" s="2257"/>
      <c r="AJ5" s="2257"/>
      <c r="AK5" s="2257"/>
      <c r="AL5" s="2257"/>
      <c r="AM5" s="546"/>
      <c r="AW5" s="514">
        <v>38</v>
      </c>
    </row>
    <row customHeight="1" ht="15.75">
      <c r="C6" s="185"/>
      <c r="D6" s="2185" t="str">
        <f>IF(org=0,"Не определено",org)</f>
        <v>ООО "СамРЭК-Тепло Жигулевск"</v>
      </c>
      <c r="E6" s="2185"/>
      <c r="F6" s="2185"/>
      <c r="G6" s="2185"/>
      <c r="H6" s="2185"/>
      <c r="I6" s="2258"/>
      <c r="J6" s="2258"/>
      <c r="K6" s="2258"/>
      <c r="L6" s="2258"/>
      <c r="M6" s="2258"/>
      <c r="N6" s="2258"/>
      <c r="O6" s="2258"/>
      <c r="P6" s="2258"/>
      <c r="Q6" s="2258"/>
      <c r="R6" s="2258"/>
      <c r="S6" s="2258"/>
      <c r="T6" s="2258"/>
      <c r="U6" s="2258"/>
      <c r="V6" s="2258"/>
      <c r="W6" s="2258"/>
      <c r="X6" s="2258"/>
      <c r="Y6" s="2258"/>
      <c r="Z6" s="2258"/>
      <c r="AA6" s="2258"/>
      <c r="AB6" s="2258"/>
      <c r="AC6" s="2258"/>
      <c r="AD6" s="2258"/>
      <c r="AE6" s="2258"/>
      <c r="AF6" s="2258"/>
      <c r="AG6" s="2258"/>
      <c r="AH6" s="2258"/>
      <c r="AI6" s="2258"/>
      <c r="AJ6" s="2258"/>
      <c r="AK6" s="2258"/>
      <c r="AL6" s="2258"/>
      <c r="AM6" s="546"/>
      <c r="AW6" s="514">
        <v>15</v>
      </c>
    </row>
    <row s="1644" customFormat="1" customHeight="1" ht="15.75">
      <c r="A7" s="768"/>
      <c r="C7" s="185"/>
      <c r="D7" s="685"/>
      <c r="E7" s="685"/>
      <c r="F7" s="685"/>
      <c r="G7" s="685"/>
      <c r="H7" s="761"/>
      <c r="I7" s="2416" t="s">
        <v>22</v>
      </c>
      <c r="J7" s="2416" t="s">
        <v>22</v>
      </c>
      <c r="K7" s="2416" t="s">
        <v>22</v>
      </c>
      <c r="L7" s="2416" t="s">
        <v>22</v>
      </c>
      <c r="M7" s="2416" t="s">
        <v>22</v>
      </c>
      <c r="N7" s="2416" t="s">
        <v>22</v>
      </c>
      <c r="O7" s="2416" t="s">
        <v>22</v>
      </c>
      <c r="P7" s="2416" t="s">
        <v>22</v>
      </c>
      <c r="Q7" s="2416" t="s">
        <v>22</v>
      </c>
      <c r="R7" s="2416" t="s">
        <v>22</v>
      </c>
      <c r="S7" s="2416" t="s">
        <v>22</v>
      </c>
      <c r="T7" s="2416" t="s">
        <v>22</v>
      </c>
      <c r="U7" s="2416" t="s">
        <v>22</v>
      </c>
      <c r="V7" s="2416" t="s">
        <v>22</v>
      </c>
      <c r="W7" s="2416" t="s">
        <v>22</v>
      </c>
      <c r="X7" s="2416" t="s">
        <v>22</v>
      </c>
      <c r="Y7" s="2416" t="s">
        <v>22</v>
      </c>
      <c r="Z7" s="2416" t="s">
        <v>22</v>
      </c>
      <c r="AA7" s="2416" t="s">
        <v>22</v>
      </c>
      <c r="AB7" s="2416" t="s">
        <v>22</v>
      </c>
      <c r="AC7" s="2416" t="s">
        <v>22</v>
      </c>
      <c r="AD7" s="2416" t="s">
        <v>22</v>
      </c>
      <c r="AE7" s="2416" t="s">
        <v>22</v>
      </c>
      <c r="AF7" s="2416" t="s">
        <v>22</v>
      </c>
      <c r="AG7" s="2416" t="s">
        <v>22</v>
      </c>
      <c r="AH7" s="2416" t="s">
        <v>22</v>
      </c>
      <c r="AI7" s="2416" t="s">
        <v>22</v>
      </c>
      <c r="AJ7" s="2416" t="s">
        <v>22</v>
      </c>
      <c r="AK7" s="2416" t="s">
        <v>22</v>
      </c>
      <c r="AL7" s="2416" t="s">
        <v>22</v>
      </c>
      <c r="AM7" s="546"/>
      <c r="AV7" s="684"/>
      <c r="AW7" s="767">
        <v>15</v>
      </c>
    </row>
    <row customHeight="1" ht="1.05">
      <c r="C8" s="185"/>
      <c r="D8" s="518"/>
      <c r="E8" s="518"/>
      <c r="F8" s="518"/>
      <c r="G8" s="518"/>
      <c r="H8" s="546" t="s">
        <v>118</v>
      </c>
      <c r="I8" s="1644" t="s">
        <v>123</v>
      </c>
      <c r="J8" s="1644" t="s">
        <v>125</v>
      </c>
      <c r="K8" s="1644" t="s">
        <v>127</v>
      </c>
      <c r="L8" s="1644" t="s">
        <v>129</v>
      </c>
      <c r="M8" s="1644" t="s">
        <v>131</v>
      </c>
      <c r="N8" s="1644" t="s">
        <v>133</v>
      </c>
      <c r="O8" s="1644" t="s">
        <v>135</v>
      </c>
      <c r="P8" s="1644" t="s">
        <v>138</v>
      </c>
      <c r="Q8" s="1644" t="s">
        <v>141</v>
      </c>
      <c r="R8" s="1644" t="s">
        <v>144</v>
      </c>
      <c r="S8" s="1644" t="s">
        <v>147</v>
      </c>
      <c r="T8" s="1644" t="s">
        <v>150</v>
      </c>
      <c r="U8" s="1644" t="s">
        <v>153</v>
      </c>
      <c r="V8" s="1644" t="s">
        <v>156</v>
      </c>
      <c r="W8" s="1644" t="s">
        <v>159</v>
      </c>
      <c r="X8" s="1644" t="s">
        <v>162</v>
      </c>
      <c r="Y8" s="1644" t="s">
        <v>165</v>
      </c>
      <c r="Z8" s="1644" t="s">
        <v>168</v>
      </c>
      <c r="AA8" s="1644" t="s">
        <v>171</v>
      </c>
      <c r="AB8" s="1644" t="s">
        <v>174</v>
      </c>
      <c r="AC8" s="1644" t="s">
        <v>177</v>
      </c>
      <c r="AD8" s="1644" t="s">
        <v>180</v>
      </c>
      <c r="AE8" s="1644" t="s">
        <v>183</v>
      </c>
      <c r="AF8" s="1644" t="s">
        <v>186</v>
      </c>
      <c r="AG8" s="1644" t="s">
        <v>189</v>
      </c>
      <c r="AH8" s="1644" t="s">
        <v>192</v>
      </c>
      <c r="AI8" s="1644" t="s">
        <v>195</v>
      </c>
      <c r="AJ8" s="1644" t="s">
        <v>198</v>
      </c>
      <c r="AK8" s="1644" t="s">
        <v>200</v>
      </c>
      <c r="AL8" s="1644" t="s">
        <v>201</v>
      </c>
      <c r="AW8" s="514">
        <v>1</v>
      </c>
    </row>
    <row customHeight="1" ht="15.75">
      <c r="C9" s="185"/>
      <c r="D9" s="720"/>
      <c r="E9" s="2376" t="s">
        <v>105</v>
      </c>
      <c r="F9" s="2377"/>
      <c r="G9" s="825" t="str">
        <f>IF(G8="","",INDEX(DIFFERENTIATION_UNMERGE_VD,MATCH(G8,DIFFERENTIATION_ID_DIFF,0)))</f>
        <v/>
      </c>
      <c r="H9" s="825" t="str">
        <f>IF(H8="","",INDEX(DIFFERENTIATION_UNMERGE_VD,MATCH(H8,DIFFERENTIATION_ID_DIFF,0)))</f>
        <v>Производство тепловой энергии. Некомбинированная выработка</v>
      </c>
      <c r="I9" s="2404" t="str">
        <f>IF(I8="","",INDEX(DIFFERENTIATION_UNMERGE_VD,MATCH(I8,DIFFERENTIATION_ID_DIFF,0)))</f>
        <v>Производство тепловой энергии. Некомбинированная выработка</v>
      </c>
      <c r="J9" s="2404" t="str">
        <f>IF(J8="","",INDEX(DIFFERENTIATION_UNMERGE_VD,MATCH(J8,DIFFERENTIATION_ID_DIFF,0)))</f>
        <v>Производство тепловой энергии. Некомбинированная выработка</v>
      </c>
      <c r="K9" s="2404" t="str">
        <f>IF(K8="","",INDEX(DIFFERENTIATION_UNMERGE_VD,MATCH(K8,DIFFERENTIATION_ID_DIFF,0)))</f>
        <v>Производство тепловой энергии. Некомбинированная выработка</v>
      </c>
      <c r="L9" s="2404" t="str">
        <f>IF(L8="","",INDEX(DIFFERENTIATION_UNMERGE_VD,MATCH(L8,DIFFERENTIATION_ID_DIFF,0)))</f>
        <v>Производство тепловой энергии. Некомбинированная выработка</v>
      </c>
      <c r="M9" s="2404" t="str">
        <f>IF(M8="","",INDEX(DIFFERENTIATION_UNMERGE_VD,MATCH(M8,DIFFERENTIATION_ID_DIFF,0)))</f>
        <v>Производство тепловой энергии. Некомбинированная выработка</v>
      </c>
      <c r="N9" s="2404" t="str">
        <f>IF(N8="","",INDEX(DIFFERENTIATION_UNMERGE_VD,MATCH(N8,DIFFERENTIATION_ID_DIFF,0)))</f>
        <v>Производство тепловой энергии. Некомбинированная выработка</v>
      </c>
      <c r="O9" s="2404" t="str">
        <f>IF(O8="","",INDEX(DIFFERENTIATION_UNMERGE_VD,MATCH(O8,DIFFERENTIATION_ID_DIFF,0)))</f>
        <v>Производство тепловой энергии. Некомбинированная выработка</v>
      </c>
      <c r="P9" s="2404" t="str">
        <f>IF(P8="","",INDEX(DIFFERENTIATION_UNMERGE_VD,MATCH(P8,DIFFERENTIATION_ID_DIFF,0)))</f>
        <v>Производство тепловой энергии. Некомбинированная выработка</v>
      </c>
      <c r="Q9" s="2404" t="str">
        <f>IF(Q8="","",INDEX(DIFFERENTIATION_UNMERGE_VD,MATCH(Q8,DIFFERENTIATION_ID_DIFF,0)))</f>
        <v>Производство тепловой энергии. Некомбинированная выработка</v>
      </c>
      <c r="R9" s="2404" t="str">
        <f>IF(R8="","",INDEX(DIFFERENTIATION_UNMERGE_VD,MATCH(R8,DIFFERENTIATION_ID_DIFF,0)))</f>
        <v>Производство тепловой энергии. Некомбинированная выработка</v>
      </c>
      <c r="S9" s="2404" t="str">
        <f>IF(S8="","",INDEX(DIFFERENTIATION_UNMERGE_VD,MATCH(S8,DIFFERENTIATION_ID_DIFF,0)))</f>
        <v>Производство тепловой энергии. Некомбинированная выработка</v>
      </c>
      <c r="T9" s="2404" t="str">
        <f>IF(T8="","",INDEX(DIFFERENTIATION_UNMERGE_VD,MATCH(T8,DIFFERENTIATION_ID_DIFF,0)))</f>
        <v>Производство тепловой энергии. Некомбинированная выработка</v>
      </c>
      <c r="U9" s="2404" t="str">
        <f>IF(U8="","",INDEX(DIFFERENTIATION_UNMERGE_VD,MATCH(U8,DIFFERENTIATION_ID_DIFF,0)))</f>
        <v>Производство тепловой энергии. Некомбинированная выработка</v>
      </c>
      <c r="V9" s="2404" t="str">
        <f>IF(V8="","",INDEX(DIFFERENTIATION_UNMERGE_VD,MATCH(V8,DIFFERENTIATION_ID_DIFF,0)))</f>
        <v>Производство тепловой энергии. Некомбинированная выработка</v>
      </c>
      <c r="W9" s="2404" t="str">
        <f>IF(W8="","",INDEX(DIFFERENTIATION_UNMERGE_VD,MATCH(W8,DIFFERENTIATION_ID_DIFF,0)))</f>
        <v>Производство тепловой энергии. Некомбинированная выработка</v>
      </c>
      <c r="X9" s="2404" t="str">
        <f>IF(X8="","",INDEX(DIFFERENTIATION_UNMERGE_VD,MATCH(X8,DIFFERENTIATION_ID_DIFF,0)))</f>
        <v>Производство тепловой энергии. Некомбинированная выработка</v>
      </c>
      <c r="Y9" s="2404" t="str">
        <f>IF(Y8="","",INDEX(DIFFERENTIATION_UNMERGE_VD,MATCH(Y8,DIFFERENTIATION_ID_DIFF,0)))</f>
        <v>Производство тепловой энергии. Некомбинированная выработка</v>
      </c>
      <c r="Z9" s="2404" t="str">
        <f>IF(Z8="","",INDEX(DIFFERENTIATION_UNMERGE_VD,MATCH(Z8,DIFFERENTIATION_ID_DIFF,0)))</f>
        <v>Производство тепловой энергии. Некомбинированная выработка</v>
      </c>
      <c r="AA9" s="2404" t="str">
        <f>IF(AA8="","",INDEX(DIFFERENTIATION_UNMERGE_VD,MATCH(AA8,DIFFERENTIATION_ID_DIFF,0)))</f>
        <v>Производство тепловой энергии. Некомбинированная выработка</v>
      </c>
      <c r="AB9" s="2404" t="str">
        <f>IF(AB8="","",INDEX(DIFFERENTIATION_UNMERGE_VD,MATCH(AB8,DIFFERENTIATION_ID_DIFF,0)))</f>
        <v>Производство тепловой энергии. Некомбинированная выработка</v>
      </c>
      <c r="AC9" s="2404" t="str">
        <f>IF(AC8="","",INDEX(DIFFERENTIATION_UNMERGE_VD,MATCH(AC8,DIFFERENTIATION_ID_DIFF,0)))</f>
        <v>Производство тепловой энергии. Некомбинированная выработка</v>
      </c>
      <c r="AD9" s="2404" t="str">
        <f>IF(AD8="","",INDEX(DIFFERENTIATION_UNMERGE_VD,MATCH(AD8,DIFFERENTIATION_ID_DIFF,0)))</f>
        <v>Производство тепловой энергии. Некомбинированная выработка</v>
      </c>
      <c r="AE9" s="2404" t="str">
        <f>IF(AE8="","",INDEX(DIFFERENTIATION_UNMERGE_VD,MATCH(AE8,DIFFERENTIATION_ID_DIFF,0)))</f>
        <v>Производство тепловой энергии. Некомбинированная выработка</v>
      </c>
      <c r="AF9" s="2404" t="str">
        <f>IF(AF8="","",INDEX(DIFFERENTIATION_UNMERGE_VD,MATCH(AF8,DIFFERENTIATION_ID_DIFF,0)))</f>
        <v>Производство тепловой энергии. Некомбинированная выработка</v>
      </c>
      <c r="AG9" s="2404" t="str">
        <f>IF(AG8="","",INDEX(DIFFERENTIATION_UNMERGE_VD,MATCH(AG8,DIFFERENTIATION_ID_DIFF,0)))</f>
        <v>Производство тепловой энергии. Некомбинированная выработка</v>
      </c>
      <c r="AH9" s="2404" t="str">
        <f>IF(AH8="","",INDEX(DIFFERENTIATION_UNMERGE_VD,MATCH(AH8,DIFFERENTIATION_ID_DIFF,0)))</f>
        <v>Производство тепловой энергии. Некомбинированная выработка</v>
      </c>
      <c r="AI9" s="2404" t="str">
        <f>IF(AI8="","",INDEX(DIFFERENTIATION_UNMERGE_VD,MATCH(AI8,DIFFERENTIATION_ID_DIFF,0)))</f>
        <v>Производство тепловой энергии. Некомбинированная выработка</v>
      </c>
      <c r="AJ9" s="2404" t="str">
        <f>IF(AJ8="","",INDEX(DIFFERENTIATION_UNMERGE_VD,MATCH(AJ8,DIFFERENTIATION_ID_DIFF,0)))</f>
        <v>Производство. Теплоноситель</v>
      </c>
      <c r="AK9" s="2404" t="str">
        <f>IF(AK8="","",INDEX(DIFFERENTIATION_UNMERGE_VD,MATCH(AK8,DIFFERENTIATION_ID_DIFF,0)))</f>
        <v>Производство. Теплоноситель</v>
      </c>
      <c r="AL9" s="2404" t="str">
        <f>IF(AL8="","",INDEX(DIFFERENTIATION_UNMERGE_VD,MATCH(AL8,DIFFERENTIATION_ID_DIFF,0)))</f>
        <v>Производство. Теплоноситель</v>
      </c>
      <c r="AM9" s="2136" t="s">
        <v>374</v>
      </c>
      <c r="AW9" s="514">
        <v>15</v>
      </c>
    </row>
    <row s="1644" customFormat="1" customHeight="1" ht="15.75">
      <c r="A10" s="768"/>
      <c r="C10" s="185"/>
      <c r="D10" s="720"/>
      <c r="E10" s="2376" t="s">
        <v>637</v>
      </c>
      <c r="F10" s="2377"/>
      <c r="G10" s="825" t="str">
        <f>IF(G8="","",INDEX(DIFFERENTIATION_UNMERGE_AREA,MATCH(G8,DIFFERENTIATION_ID_DIFF,0)))</f>
        <v/>
      </c>
      <c r="H10" s="825" t="str">
        <f>IF(H8="","",INDEX(DIFFERENTIATION_UNMERGE_AREA,MATCH(H8,DIFFERENTIATION_ID_DIFF,0)))</f>
        <v>Территория 1</v>
      </c>
      <c r="I10" s="2404" t="str">
        <f>IF(I8="","",INDEX(DIFFERENTIATION_UNMERGE_AREA,MATCH(I8,DIFFERENTIATION_ID_DIFF,0)))</f>
        <v>Территория 1</v>
      </c>
      <c r="J10" s="2404" t="str">
        <f>IF(J8="","",INDEX(DIFFERENTIATION_UNMERGE_AREA,MATCH(J8,DIFFERENTIATION_ID_DIFF,0)))</f>
        <v>Территория 1</v>
      </c>
      <c r="K10" s="2404" t="str">
        <f>IF(K8="","",INDEX(DIFFERENTIATION_UNMERGE_AREA,MATCH(K8,DIFFERENTIATION_ID_DIFF,0)))</f>
        <v>Территория 1</v>
      </c>
      <c r="L10" s="2404" t="str">
        <f>IF(L8="","",INDEX(DIFFERENTIATION_UNMERGE_AREA,MATCH(L8,DIFFERENTIATION_ID_DIFF,0)))</f>
        <v>Территория 1</v>
      </c>
      <c r="M10" s="2404" t="str">
        <f>IF(M8="","",INDEX(DIFFERENTIATION_UNMERGE_AREA,MATCH(M8,DIFFERENTIATION_ID_DIFF,0)))</f>
        <v>Территория 1</v>
      </c>
      <c r="N10" s="2404" t="str">
        <f>IF(N8="","",INDEX(DIFFERENTIATION_UNMERGE_AREA,MATCH(N8,DIFFERENTIATION_ID_DIFF,0)))</f>
        <v>Территория 1</v>
      </c>
      <c r="O10" s="2404" t="str">
        <f>IF(O8="","",INDEX(DIFFERENTIATION_UNMERGE_AREA,MATCH(O8,DIFFERENTIATION_ID_DIFF,0)))</f>
        <v>Территория 1</v>
      </c>
      <c r="P10" s="2404" t="str">
        <f>IF(P8="","",INDEX(DIFFERENTIATION_UNMERGE_AREA,MATCH(P8,DIFFERENTIATION_ID_DIFF,0)))</f>
        <v>Территория 1</v>
      </c>
      <c r="Q10" s="2404" t="str">
        <f>IF(Q8="","",INDEX(DIFFERENTIATION_UNMERGE_AREA,MATCH(Q8,DIFFERENTIATION_ID_DIFF,0)))</f>
        <v>Территория 1</v>
      </c>
      <c r="R10" s="2404" t="str">
        <f>IF(R8="","",INDEX(DIFFERENTIATION_UNMERGE_AREA,MATCH(R8,DIFFERENTIATION_ID_DIFF,0)))</f>
        <v>Территория 1</v>
      </c>
      <c r="S10" s="2404" t="str">
        <f>IF(S8="","",INDEX(DIFFERENTIATION_UNMERGE_AREA,MATCH(S8,DIFFERENTIATION_ID_DIFF,0)))</f>
        <v>Территория 1</v>
      </c>
      <c r="T10" s="2404" t="str">
        <f>IF(T8="","",INDEX(DIFFERENTIATION_UNMERGE_AREA,MATCH(T8,DIFFERENTIATION_ID_DIFF,0)))</f>
        <v>Территория 1</v>
      </c>
      <c r="U10" s="2404" t="str">
        <f>IF(U8="","",INDEX(DIFFERENTIATION_UNMERGE_AREA,MATCH(U8,DIFFERENTIATION_ID_DIFF,0)))</f>
        <v>Территория 1</v>
      </c>
      <c r="V10" s="2404" t="str">
        <f>IF(V8="","",INDEX(DIFFERENTIATION_UNMERGE_AREA,MATCH(V8,DIFFERENTIATION_ID_DIFF,0)))</f>
        <v>Территория 1</v>
      </c>
      <c r="W10" s="2404" t="str">
        <f>IF(W8="","",INDEX(DIFFERENTIATION_UNMERGE_AREA,MATCH(W8,DIFFERENTIATION_ID_DIFF,0)))</f>
        <v>Территория 1</v>
      </c>
      <c r="X10" s="2404" t="str">
        <f>IF(X8="","",INDEX(DIFFERENTIATION_UNMERGE_AREA,MATCH(X8,DIFFERENTIATION_ID_DIFF,0)))</f>
        <v>Территория 1</v>
      </c>
      <c r="Y10" s="2404" t="str">
        <f>IF(Y8="","",INDEX(DIFFERENTIATION_UNMERGE_AREA,MATCH(Y8,DIFFERENTIATION_ID_DIFF,0)))</f>
        <v>Территория 1</v>
      </c>
      <c r="Z10" s="2404" t="str">
        <f>IF(Z8="","",INDEX(DIFFERENTIATION_UNMERGE_AREA,MATCH(Z8,DIFFERENTIATION_ID_DIFF,0)))</f>
        <v>Территория 1</v>
      </c>
      <c r="AA10" s="2404" t="str">
        <f>IF(AA8="","",INDEX(DIFFERENTIATION_UNMERGE_AREA,MATCH(AA8,DIFFERENTIATION_ID_DIFF,0)))</f>
        <v>Территория 1</v>
      </c>
      <c r="AB10" s="2404" t="str">
        <f>IF(AB8="","",INDEX(DIFFERENTIATION_UNMERGE_AREA,MATCH(AB8,DIFFERENTIATION_ID_DIFF,0)))</f>
        <v>Территория 1</v>
      </c>
      <c r="AC10" s="2404" t="str">
        <f>IF(AC8="","",INDEX(DIFFERENTIATION_UNMERGE_AREA,MATCH(AC8,DIFFERENTIATION_ID_DIFF,0)))</f>
        <v>Территория 1</v>
      </c>
      <c r="AD10" s="2404" t="str">
        <f>IF(AD8="","",INDEX(DIFFERENTIATION_UNMERGE_AREA,MATCH(AD8,DIFFERENTIATION_ID_DIFF,0)))</f>
        <v>Территория 1</v>
      </c>
      <c r="AE10" s="2404" t="str">
        <f>IF(AE8="","",INDEX(DIFFERENTIATION_UNMERGE_AREA,MATCH(AE8,DIFFERENTIATION_ID_DIFF,0)))</f>
        <v>Территория 1</v>
      </c>
      <c r="AF10" s="2404" t="str">
        <f>IF(AF8="","",INDEX(DIFFERENTIATION_UNMERGE_AREA,MATCH(AF8,DIFFERENTIATION_ID_DIFF,0)))</f>
        <v>Территория 1</v>
      </c>
      <c r="AG10" s="2404" t="str">
        <f>IF(AG8="","",INDEX(DIFFERENTIATION_UNMERGE_AREA,MATCH(AG8,DIFFERENTIATION_ID_DIFF,0)))</f>
        <v>Территория 1</v>
      </c>
      <c r="AH10" s="2404" t="str">
        <f>IF(AH8="","",INDEX(DIFFERENTIATION_UNMERGE_AREA,MATCH(AH8,DIFFERENTIATION_ID_DIFF,0)))</f>
        <v>Территория 1</v>
      </c>
      <c r="AI10" s="2404" t="str">
        <f>IF(AI8="","",INDEX(DIFFERENTIATION_UNMERGE_AREA,MATCH(AI8,DIFFERENTIATION_ID_DIFF,0)))</f>
        <v>Территория 1</v>
      </c>
      <c r="AJ10" s="2404" t="str">
        <f>IF(AJ8="","",INDEX(DIFFERENTIATION_UNMERGE_AREA,MATCH(AJ8,DIFFERENTIATION_ID_DIFF,0)))</f>
        <v>Территория 1</v>
      </c>
      <c r="AK10" s="2404" t="str">
        <f>IF(AK8="","",INDEX(DIFFERENTIATION_UNMERGE_AREA,MATCH(AK8,DIFFERENTIATION_ID_DIFF,0)))</f>
        <v>Территория 1</v>
      </c>
      <c r="AL10" s="2404" t="str">
        <f>IF(AL8="","",INDEX(DIFFERENTIATION_UNMERGE_AREA,MATCH(AL8,DIFFERENTIATION_ID_DIFF,0)))</f>
        <v>Территория 1</v>
      </c>
      <c r="AM10" s="2136"/>
      <c r="AV10" s="684"/>
      <c r="AW10" s="767">
        <v>15</v>
      </c>
    </row>
    <row s="1644" customFormat="1" customHeight="1" ht="15.75">
      <c r="A11" s="768"/>
      <c r="C11" s="185"/>
      <c r="D11" s="720"/>
      <c r="E11" s="2376" t="s">
        <v>638</v>
      </c>
      <c r="F11" s="2377"/>
      <c r="G11" s="825" t="str">
        <f>IF(G8="","",INDEX(DIFFERENTIATION_UNMERGE_SYSTEM,MATCH(G8,DIFFERENTIATION_ID_DIFF,0)))</f>
        <v/>
      </c>
      <c r="H11" s="825" t="str">
        <f>IF(H8="","",INDEX(DIFFERENTIATION_UNMERGE_SYSTEM,MATCH(H8,DIFFERENTIATION_ID_DIFF,0)))</f>
        <v>Котельная №1 по ул.Ново-Самарская, д.12</v>
      </c>
      <c r="I11" s="2404" t="str">
        <f>IF(I8="","",INDEX(DIFFERENTIATION_UNMERGE_SYSTEM,MATCH(I8,DIFFERENTIATION_ID_DIFF,0)))</f>
        <v>Котельная №2,  ул.Пирогова около д.4</v>
      </c>
      <c r="J11" s="2404" t="str">
        <f>IF(J8="","",INDEX(DIFFERENTIATION_UNMERGE_SYSTEM,MATCH(J8,DIFFERENTIATION_ID_DIFF,0)))</f>
        <v>Котельная №3, ул.Комсомольская около д.1 по ул.Ленина</v>
      </c>
      <c r="K11" s="2404" t="str">
        <f>IF(K8="","",INDEX(DIFFERENTIATION_UNMERGE_SYSTEM,MATCH(K8,DIFFERENTIATION_ID_DIFF,0)))</f>
        <v>Тепловой центр №1 ул.Вокзальная ок д.№8</v>
      </c>
      <c r="L11" s="2404" t="str">
        <f>IF(L8="","",INDEX(DIFFERENTIATION_UNMERGE_SYSTEM,MATCH(L8,DIFFERENTIATION_ID_DIFF,0)))</f>
        <v>Котельная №5, Александр. Поле, около д.30 по ул.Советская </v>
      </c>
      <c r="M11" s="2404" t="str">
        <f>IF(M8="","",INDEX(DIFFERENTIATION_UNMERGE_SYSTEM,MATCH(M8,DIFFERENTIATION_ID_DIFF,0)))</f>
        <v>Котельная №6, ул.Пушкина </v>
      </c>
      <c r="N11" s="2404" t="str">
        <f>IF(N8="","",INDEX(DIFFERENTIATION_UNMERGE_SYSTEM,MATCH(N8,DIFFERENTIATION_ID_DIFF,0)))</f>
        <v>Тепловой центр №2 ул.Вокзальная ок д.№20</v>
      </c>
      <c r="O11" s="2404" t="str">
        <f>IF(O8="","",INDEX(DIFFERENTIATION_UNMERGE_SYSTEM,MATCH(O8,DIFFERENTIATION_ID_DIFF,0)))</f>
        <v>Котельная №8, ул.Мира</v>
      </c>
      <c r="P11" s="2404" t="str">
        <f>IF(P8="","",INDEX(DIFFERENTIATION_UNMERGE_SYSTEM,MATCH(P8,DIFFERENTIATION_ID_DIFF,0)))</f>
        <v>Котельная №9, ул.Гоголя</v>
      </c>
      <c r="Q11" s="2404" t="str">
        <f>IF(Q8="","",INDEX(DIFFERENTIATION_UNMERGE_SYSTEM,MATCH(Q8,DIFFERENTIATION_ID_DIFF,0)))</f>
        <v>Котельная №10, ул.Гоголя</v>
      </c>
      <c r="R11" s="2404" t="str">
        <f>IF(R8="","",INDEX(DIFFERENTIATION_UNMERGE_SYSTEM,MATCH(R8,DIFFERENTIATION_ID_DIFF,0)))</f>
        <v>Котельная №12а, ул.Мира</v>
      </c>
      <c r="S11" s="2404" t="str">
        <f>IF(S8="","",INDEX(DIFFERENTIATION_UNMERGE_SYSTEM,MATCH(S8,DIFFERENTIATION_ID_DIFF,0)))</f>
        <v>Котельная №13, ул.Морквашинская</v>
      </c>
      <c r="T11" s="2404" t="str">
        <f>IF(T8="","",INDEX(DIFFERENTIATION_UNMERGE_SYSTEM,MATCH(T8,DIFFERENTIATION_ID_DIFF,0)))</f>
        <v>ЦТП-1 ул.Морквашинская ок.д№7</v>
      </c>
      <c r="U11" s="2404" t="str">
        <f>IF(U8="","",INDEX(DIFFERENTIATION_UNMERGE_SYSTEM,MATCH(U8,DIFFERENTIATION_ID_DIFF,0)))</f>
        <v>ЦТП-2, В-1,ок.д.№10</v>
      </c>
      <c r="V11" s="2404" t="str">
        <f>IF(V8="","",INDEX(DIFFERENTIATION_UNMERGE_SYSTEM,MATCH(V8,DIFFERENTIATION_ID_DIFF,0)))</f>
        <v>ЦТП-9, ул.Пролетарская д.23/ул.Транспортная д.10</v>
      </c>
      <c r="W11" s="2404" t="str">
        <f>IF(W8="","",INDEX(DIFFERENTIATION_UNMERGE_SYSTEM,MATCH(W8,DIFFERENTIATION_ID_DIFF,0)))</f>
        <v>ПНС№1-  Пролет, 5</v>
      </c>
      <c r="X11" s="2404" t="str">
        <f>IF(X8="","",INDEX(DIFFERENTIATION_UNMERGE_SYSTEM,MATCH(X8,DIFFERENTIATION_ID_DIFF,0)))</f>
        <v>ПНС№2, ул.Репина,3</v>
      </c>
      <c r="Y11" s="2404" t="str">
        <f>IF(Y8="","",INDEX(DIFFERENTIATION_UNMERGE_SYSTEM,MATCH(Y8,DIFFERENTIATION_ID_DIFF,0)))</f>
        <v>Котельная №14, ул.Радиозаводская</v>
      </c>
      <c r="Z11" s="2404" t="str">
        <f>IF(Z8="","",INDEX(DIFFERENTIATION_UNMERGE_SYSTEM,MATCH(Z8,DIFFERENTIATION_ID_DIFF,0)))</f>
        <v>ЦТП-3, ул.Радиозаводская,ок.д.№6</v>
      </c>
      <c r="AA11" s="2404" t="str">
        <f>IF(AA8="","",INDEX(DIFFERENTIATION_UNMERGE_SYSTEM,MATCH(AA8,DIFFERENTIATION_ID_DIFF,0)))</f>
        <v>Котельная №17а с.Зольное , ул.Первомайская.</v>
      </c>
      <c r="AB11" s="2404" t="str">
        <f>IF(AB8="","",INDEX(DIFFERENTIATION_UNMERGE_SYSTEM,MATCH(AB8,DIFFERENTIATION_ID_DIFF,0)))</f>
        <v>Котельная №18А, с.Солнечная Поляна, ул. 4-я Линия</v>
      </c>
      <c r="AC11" s="2404" t="str">
        <f>IF(AC8="","",INDEX(DIFFERENTIATION_UNMERGE_SYSTEM,MATCH(AC8,DIFFERENTIATION_ID_DIFF,0)))</f>
        <v>Котельная №20,пос.Яблоневый Овраг , ул Никитина</v>
      </c>
      <c r="AD11" s="2404" t="str">
        <f>IF(AD8="","",INDEX(DIFFERENTIATION_UNMERGE_SYSTEM,MATCH(AD8,DIFFERENTIATION_ID_DIFF,0)))</f>
        <v>Котельная №22, ул.Магистральная</v>
      </c>
      <c r="AE11" s="2404" t="str">
        <f>IF(AE8="","",INDEX(DIFFERENTIATION_UNMERGE_SYSTEM,MATCH(AE8,DIFFERENTIATION_ID_DIFF,0)))</f>
        <v>Котельная №25,  МКР Г-1, ул.Гидротехническая</v>
      </c>
      <c r="AF11" s="2404" t="str">
        <f>IF(AF8="","",INDEX(DIFFERENTIATION_UNMERGE_SYSTEM,MATCH(AF8,DIFFERENTIATION_ID_DIFF,0)))</f>
        <v>ЦТП-7, ул.Оборонная</v>
      </c>
      <c r="AG11" s="2404" t="str">
        <f>IF(AG8="","",INDEX(DIFFERENTIATION_UNMERGE_SYSTEM,MATCH(AG8,DIFFERENTIATION_ID_DIFF,0)))</f>
        <v>ЦТП-8, ул.Шевченко</v>
      </c>
      <c r="AH11" s="2404" t="str">
        <f>IF(AH8="","",INDEX(DIFFERENTIATION_UNMERGE_SYSTEM,MATCH(AH8,DIFFERENTIATION_ID_DIFF,0)))</f>
        <v>ПНС, ул.Парковая</v>
      </c>
      <c r="AI11" s="2404" t="str">
        <f>IF(AI8="","",INDEX(DIFFERENTIATION_UNMERGE_SYSTEM,MATCH(AI8,DIFFERENTIATION_ID_DIFF,0)))</f>
        <v>Котельная №27, п.Богатырь, ул.Управленческая</v>
      </c>
      <c r="AJ11" s="2404" t="str">
        <f>IF(AJ8="","",INDEX(DIFFERENTIATION_UNMERGE_SYSTEM,MATCH(AJ8,DIFFERENTIATION_ID_DIFF,0)))</f>
        <v>Котельная №13, ул.Морквашинская</v>
      </c>
      <c r="AK11" s="2404" t="str">
        <f>IF(AK8="","",INDEX(DIFFERENTIATION_UNMERGE_SYSTEM,MATCH(AK8,DIFFERENTIATION_ID_DIFF,0)))</f>
        <v>Котельная №14, ул.Радиозаводская</v>
      </c>
      <c r="AL11" s="2404" t="str">
        <f>IF(AL8="","",INDEX(DIFFERENTIATION_UNMERGE_SYSTEM,MATCH(AL8,DIFFERENTIATION_ID_DIFF,0)))</f>
        <v>Котельная №25,  МКР Г-1, ул.Гидротехническая</v>
      </c>
      <c r="AM11" s="2136"/>
      <c r="AV11" s="684"/>
      <c r="AW11" s="767">
        <v>15</v>
      </c>
    </row>
    <row s="1644" customFormat="1" customHeight="1" ht="15.75">
      <c r="A12" s="768"/>
      <c r="C12" s="185"/>
      <c r="D12" s="2378" t="s">
        <v>373</v>
      </c>
      <c r="E12" s="2379"/>
      <c r="F12" s="2379"/>
      <c r="G12" s="896"/>
      <c r="H12" s="896"/>
      <c r="I12" s="2376"/>
      <c r="J12" s="2376"/>
      <c r="K12" s="2376"/>
      <c r="L12" s="2376"/>
      <c r="M12" s="2376"/>
      <c r="N12" s="2376"/>
      <c r="O12" s="2376"/>
      <c r="P12" s="2376"/>
      <c r="Q12" s="2376"/>
      <c r="R12" s="2376"/>
      <c r="S12" s="2376"/>
      <c r="T12" s="2376"/>
      <c r="U12" s="2376"/>
      <c r="V12" s="2376"/>
      <c r="W12" s="2376"/>
      <c r="X12" s="2376"/>
      <c r="Y12" s="2376"/>
      <c r="Z12" s="2376"/>
      <c r="AA12" s="2376"/>
      <c r="AB12" s="2376"/>
      <c r="AC12" s="2376"/>
      <c r="AD12" s="2376"/>
      <c r="AE12" s="2376"/>
      <c r="AF12" s="2376"/>
      <c r="AG12" s="2376"/>
      <c r="AH12" s="2376"/>
      <c r="AI12" s="2376"/>
      <c r="AJ12" s="2376"/>
      <c r="AK12" s="2376"/>
      <c r="AL12" s="2376"/>
      <c r="AM12" s="2136"/>
      <c r="AV12" s="684"/>
      <c r="AW12" s="767">
        <v>15</v>
      </c>
    </row>
    <row customHeight="1" ht="35.699999999999996">
      <c r="C13" s="185"/>
      <c r="D13" s="770" t="s">
        <v>88</v>
      </c>
      <c r="E13" s="769" t="s">
        <v>375</v>
      </c>
      <c r="F13" s="769" t="s">
        <v>639</v>
      </c>
      <c r="G13" s="817" t="s">
        <v>376</v>
      </c>
      <c r="H13" s="763" t="s">
        <v>376</v>
      </c>
      <c r="I13" s="2271" t="s">
        <v>376</v>
      </c>
      <c r="J13" s="2271" t="s">
        <v>376</v>
      </c>
      <c r="K13" s="2271" t="s">
        <v>376</v>
      </c>
      <c r="L13" s="2271" t="s">
        <v>376</v>
      </c>
      <c r="M13" s="2271" t="s">
        <v>376</v>
      </c>
      <c r="N13" s="2271" t="s">
        <v>376</v>
      </c>
      <c r="O13" s="2271" t="s">
        <v>376</v>
      </c>
      <c r="P13" s="2271" t="s">
        <v>376</v>
      </c>
      <c r="Q13" s="2271" t="s">
        <v>376</v>
      </c>
      <c r="R13" s="2271" t="s">
        <v>376</v>
      </c>
      <c r="S13" s="2271" t="s">
        <v>376</v>
      </c>
      <c r="T13" s="2271" t="s">
        <v>376</v>
      </c>
      <c r="U13" s="2271" t="s">
        <v>376</v>
      </c>
      <c r="V13" s="2271" t="s">
        <v>376</v>
      </c>
      <c r="W13" s="2271" t="s">
        <v>376</v>
      </c>
      <c r="X13" s="2271" t="s">
        <v>376</v>
      </c>
      <c r="Y13" s="2271" t="s">
        <v>376</v>
      </c>
      <c r="Z13" s="2271" t="s">
        <v>376</v>
      </c>
      <c r="AA13" s="2271" t="s">
        <v>376</v>
      </c>
      <c r="AB13" s="2271" t="s">
        <v>376</v>
      </c>
      <c r="AC13" s="2271" t="s">
        <v>376</v>
      </c>
      <c r="AD13" s="2271" t="s">
        <v>376</v>
      </c>
      <c r="AE13" s="2271" t="s">
        <v>376</v>
      </c>
      <c r="AF13" s="2271" t="s">
        <v>376</v>
      </c>
      <c r="AG13" s="2271" t="s">
        <v>376</v>
      </c>
      <c r="AH13" s="2271" t="s">
        <v>376</v>
      </c>
      <c r="AI13" s="2271" t="s">
        <v>376</v>
      </c>
      <c r="AJ13" s="2271" t="s">
        <v>376</v>
      </c>
      <c r="AK13" s="2271" t="s">
        <v>376</v>
      </c>
      <c r="AL13" s="2271" t="s">
        <v>376</v>
      </c>
      <c r="AM13" s="2136"/>
      <c r="AW13" s="514">
        <v>34</v>
      </c>
    </row>
    <row customHeight="1" ht="15" hidden="1">
      <c r="C14" s="185"/>
      <c r="D14" s="602" t="s">
        <v>109</v>
      </c>
      <c r="E14" s="602" t="s">
        <v>110</v>
      </c>
      <c r="F14" s="602" t="s">
        <v>90</v>
      </c>
      <c r="G14" s="668" t="str">
        <f>G1&amp;".1"</f>
        <v>.1</v>
      </c>
      <c r="H14" s="668" t="str">
        <f>H1&amp;".1"</f>
        <v>4.1</v>
      </c>
      <c r="I14" s="692" t="str">
        <f>I1&amp;".1"</f>
        <v>.1</v>
      </c>
      <c r="J14" s="692" t="str">
        <f>J1&amp;".1"</f>
        <v>.1</v>
      </c>
      <c r="K14" s="692" t="str">
        <f>K1&amp;".1"</f>
        <v>.1</v>
      </c>
      <c r="L14" s="692" t="str">
        <f>L1&amp;".1"</f>
        <v>.1</v>
      </c>
      <c r="M14" s="692" t="str">
        <f>M1&amp;".1"</f>
        <v>.1</v>
      </c>
      <c r="N14" s="692" t="str">
        <f>N1&amp;".1"</f>
        <v>.1</v>
      </c>
      <c r="O14" s="692" t="str">
        <f>O1&amp;".1"</f>
        <v>.1</v>
      </c>
      <c r="P14" s="692" t="str">
        <f>P1&amp;".1"</f>
        <v>.1</v>
      </c>
      <c r="Q14" s="692" t="str">
        <f>Q1&amp;".1"</f>
        <v>.1</v>
      </c>
      <c r="R14" s="692" t="str">
        <f>R1&amp;".1"</f>
        <v>.1</v>
      </c>
      <c r="S14" s="692" t="str">
        <f>S1&amp;".1"</f>
        <v>.1</v>
      </c>
      <c r="T14" s="692" t="str">
        <f>T1&amp;".1"</f>
        <v>.1</v>
      </c>
      <c r="U14" s="692" t="str">
        <f>U1&amp;".1"</f>
        <v>.1</v>
      </c>
      <c r="V14" s="692" t="str">
        <f>V1&amp;".1"</f>
        <v>.1</v>
      </c>
      <c r="W14" s="692" t="str">
        <f>W1&amp;".1"</f>
        <v>.1</v>
      </c>
      <c r="X14" s="692" t="str">
        <f>X1&amp;".1"</f>
        <v>.1</v>
      </c>
      <c r="Y14" s="692" t="str">
        <f>Y1&amp;".1"</f>
        <v>.1</v>
      </c>
      <c r="Z14" s="692" t="str">
        <f>Z1&amp;".1"</f>
        <v>.1</v>
      </c>
      <c r="AA14" s="692" t="str">
        <f>AA1&amp;".1"</f>
        <v>.1</v>
      </c>
      <c r="AB14" s="692" t="str">
        <f>AB1&amp;".1"</f>
        <v>.1</v>
      </c>
      <c r="AC14" s="692" t="str">
        <f>AC1&amp;".1"</f>
        <v>.1</v>
      </c>
      <c r="AD14" s="692" t="str">
        <f>AD1&amp;".1"</f>
        <v>.1</v>
      </c>
      <c r="AE14" s="692" t="str">
        <f>AE1&amp;".1"</f>
        <v>.1</v>
      </c>
      <c r="AF14" s="692" t="str">
        <f>AF1&amp;".1"</f>
        <v>.1</v>
      </c>
      <c r="AG14" s="692" t="str">
        <f>AG1&amp;".1"</f>
        <v>.1</v>
      </c>
      <c r="AH14" s="692" t="str">
        <f>AH1&amp;".1"</f>
        <v>.1</v>
      </c>
      <c r="AI14" s="692" t="str">
        <f>AI1&amp;".1"</f>
        <v>.1</v>
      </c>
      <c r="AJ14" s="692" t="str">
        <f>AJ1&amp;".1"</f>
        <v>.1</v>
      </c>
      <c r="AK14" s="692" t="str">
        <f>AK1&amp;".1"</f>
        <v>.1</v>
      </c>
      <c r="AL14" s="692" t="str">
        <f>AL1&amp;".1"</f>
        <v>.1</v>
      </c>
      <c r="AM14" s="298"/>
      <c r="AW14" s="514">
        <v>0</v>
      </c>
    </row>
    <row customHeight="1" ht="15.75">
      <c r="A15" s="514"/>
      <c r="C15" s="535"/>
      <c r="D15" s="530">
        <v>1</v>
      </c>
      <c r="E15" s="1939" t="str">
        <f>TP_P_A</f>
        <v>Количество поданных заявок</v>
      </c>
      <c r="F15" s="530" t="s">
        <v>1217</v>
      </c>
      <c r="G15" s="694"/>
      <c r="H15" s="694">
        <v>0</v>
      </c>
      <c r="I15" s="694">
        <v>0</v>
      </c>
      <c r="J15" s="694">
        <v>0</v>
      </c>
      <c r="K15" s="694">
        <v>0</v>
      </c>
      <c r="L15" s="694">
        <v>0</v>
      </c>
      <c r="M15" s="694">
        <v>0</v>
      </c>
      <c r="N15" s="694">
        <v>0</v>
      </c>
      <c r="O15" s="694">
        <v>0</v>
      </c>
      <c r="P15" s="694">
        <v>0</v>
      </c>
      <c r="Q15" s="694">
        <v>0</v>
      </c>
      <c r="R15" s="694">
        <v>0</v>
      </c>
      <c r="S15" s="694">
        <v>0</v>
      </c>
      <c r="T15" s="694">
        <v>0</v>
      </c>
      <c r="U15" s="694">
        <v>0</v>
      </c>
      <c r="V15" s="694">
        <v>0</v>
      </c>
      <c r="W15" s="694">
        <v>0</v>
      </c>
      <c r="X15" s="694">
        <v>0</v>
      </c>
      <c r="Y15" s="694">
        <v>0</v>
      </c>
      <c r="Z15" s="694">
        <v>0</v>
      </c>
      <c r="AA15" s="694">
        <v>0</v>
      </c>
      <c r="AB15" s="694">
        <v>0</v>
      </c>
      <c r="AC15" s="694">
        <v>0</v>
      </c>
      <c r="AD15" s="694">
        <v>0</v>
      </c>
      <c r="AE15" s="694">
        <v>0</v>
      </c>
      <c r="AF15" s="694">
        <v>0</v>
      </c>
      <c r="AG15" s="694">
        <v>0</v>
      </c>
      <c r="AH15" s="694">
        <v>0</v>
      </c>
      <c r="AI15" s="694">
        <v>0</v>
      </c>
      <c r="AJ15" s="694">
        <v>0</v>
      </c>
      <c r="AK15" s="694">
        <v>0</v>
      </c>
      <c r="AL15" s="694">
        <v>0</v>
      </c>
      <c r="AM15" s="21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AW15" s="514">
        <v>15</v>
      </c>
    </row>
    <row customHeight="1" ht="15.75">
      <c r="A16" s="514"/>
      <c r="C16" s="535"/>
      <c r="D16" s="530">
        <v>2</v>
      </c>
      <c r="E16" s="1939" t="str">
        <f>TP_P_B</f>
        <v>Количество рассмотренных заявок</v>
      </c>
      <c r="F16" s="530" t="s">
        <v>1217</v>
      </c>
      <c r="G16" s="694"/>
      <c r="H16" s="694">
        <v>0</v>
      </c>
      <c r="I16" s="694">
        <v>0</v>
      </c>
      <c r="J16" s="694">
        <v>0</v>
      </c>
      <c r="K16" s="694">
        <v>0</v>
      </c>
      <c r="L16" s="694">
        <v>0</v>
      </c>
      <c r="M16" s="694">
        <v>0</v>
      </c>
      <c r="N16" s="694">
        <v>0</v>
      </c>
      <c r="O16" s="694">
        <v>0</v>
      </c>
      <c r="P16" s="694">
        <v>0</v>
      </c>
      <c r="Q16" s="694">
        <v>0</v>
      </c>
      <c r="R16" s="694">
        <v>0</v>
      </c>
      <c r="S16" s="694">
        <v>0</v>
      </c>
      <c r="T16" s="694">
        <v>0</v>
      </c>
      <c r="U16" s="694">
        <v>0</v>
      </c>
      <c r="V16" s="694">
        <v>0</v>
      </c>
      <c r="W16" s="694">
        <v>0</v>
      </c>
      <c r="X16" s="694">
        <v>0</v>
      </c>
      <c r="Y16" s="694">
        <v>0</v>
      </c>
      <c r="Z16" s="694">
        <v>0</v>
      </c>
      <c r="AA16" s="694">
        <v>0</v>
      </c>
      <c r="AB16" s="694">
        <v>0</v>
      </c>
      <c r="AC16" s="694">
        <v>0</v>
      </c>
      <c r="AD16" s="694">
        <v>0</v>
      </c>
      <c r="AE16" s="694">
        <v>0</v>
      </c>
      <c r="AF16" s="694">
        <v>0</v>
      </c>
      <c r="AG16" s="694">
        <v>0</v>
      </c>
      <c r="AH16" s="694">
        <v>0</v>
      </c>
      <c r="AI16" s="694">
        <v>0</v>
      </c>
      <c r="AJ16" s="694">
        <v>0</v>
      </c>
      <c r="AK16" s="694">
        <v>0</v>
      </c>
      <c r="AL16" s="694">
        <v>0</v>
      </c>
      <c r="AM16" s="21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AW16" s="514">
        <v>15</v>
      </c>
    </row>
    <row customHeight="1" ht="77.7">
      <c r="A17" s="514"/>
      <c r="C17" s="535"/>
      <c r="D17" s="530">
        <v>3</v>
      </c>
      <c r="E17" s="193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0" t="s">
        <v>1217</v>
      </c>
      <c r="G17" s="694"/>
      <c r="H17" s="694">
        <v>0</v>
      </c>
      <c r="I17" s="694">
        <v>0</v>
      </c>
      <c r="J17" s="694">
        <v>0</v>
      </c>
      <c r="K17" s="694">
        <v>0</v>
      </c>
      <c r="L17" s="694">
        <v>0</v>
      </c>
      <c r="M17" s="694">
        <v>0</v>
      </c>
      <c r="N17" s="694">
        <v>0</v>
      </c>
      <c r="O17" s="694">
        <v>0</v>
      </c>
      <c r="P17" s="694">
        <v>0</v>
      </c>
      <c r="Q17" s="694">
        <v>0</v>
      </c>
      <c r="R17" s="694">
        <v>0</v>
      </c>
      <c r="S17" s="694">
        <v>0</v>
      </c>
      <c r="T17" s="694">
        <v>0</v>
      </c>
      <c r="U17" s="694">
        <v>0</v>
      </c>
      <c r="V17" s="694">
        <v>0</v>
      </c>
      <c r="W17" s="694">
        <v>0</v>
      </c>
      <c r="X17" s="694">
        <v>0</v>
      </c>
      <c r="Y17" s="694">
        <v>0</v>
      </c>
      <c r="Z17" s="694">
        <v>0</v>
      </c>
      <c r="AA17" s="694">
        <v>0</v>
      </c>
      <c r="AB17" s="694">
        <v>0</v>
      </c>
      <c r="AC17" s="694">
        <v>0</v>
      </c>
      <c r="AD17" s="694">
        <v>0</v>
      </c>
      <c r="AE17" s="694">
        <v>0</v>
      </c>
      <c r="AF17" s="694">
        <v>0</v>
      </c>
      <c r="AG17" s="694">
        <v>0</v>
      </c>
      <c r="AH17" s="694">
        <v>0</v>
      </c>
      <c r="AI17" s="694">
        <v>0</v>
      </c>
      <c r="AJ17" s="694">
        <v>0</v>
      </c>
      <c r="AK17" s="694">
        <v>0</v>
      </c>
      <c r="AL17" s="694">
        <v>0</v>
      </c>
      <c r="AM17" s="217" t="str">
        <f>TP_P_NOTE_V</f>
        <v>Указывается количество заявок с решением об отказе в течение отчетного квартала.</v>
      </c>
      <c r="AW17" s="514">
        <v>74</v>
      </c>
    </row>
    <row customHeight="1" ht="54.75">
      <c r="A18" s="514"/>
      <c r="C18" s="535"/>
      <c r="D18" s="530">
        <v>4</v>
      </c>
      <c r="E18" s="1939" t="str">
        <f>TP_P_V_1</f>
        <v>Причины отказа в заключении договора о подключении (технологическом присоединении) к системе теплоснабжения</v>
      </c>
      <c r="F18" s="530" t="s">
        <v>379</v>
      </c>
      <c r="G18" s="695"/>
      <c r="H18" s="695"/>
      <c r="I18" s="2362"/>
      <c r="J18" s="2362"/>
      <c r="K18" s="2362"/>
      <c r="L18" s="2362"/>
      <c r="M18" s="2362"/>
      <c r="N18" s="2362"/>
      <c r="O18" s="2362"/>
      <c r="P18" s="2362"/>
      <c r="Q18" s="2362"/>
      <c r="R18" s="2362"/>
      <c r="S18" s="2362"/>
      <c r="T18" s="2362"/>
      <c r="U18" s="2362"/>
      <c r="V18" s="2362"/>
      <c r="W18" s="2362"/>
      <c r="X18" s="2362"/>
      <c r="Y18" s="2362"/>
      <c r="Z18" s="2362"/>
      <c r="AA18" s="2362"/>
      <c r="AB18" s="2362"/>
      <c r="AC18" s="2362"/>
      <c r="AD18" s="2362"/>
      <c r="AE18" s="2362"/>
      <c r="AF18" s="2362"/>
      <c r="AG18" s="2362"/>
      <c r="AH18" s="2362"/>
      <c r="AI18" s="2362"/>
      <c r="AJ18" s="3100"/>
      <c r="AK18" s="3100"/>
      <c r="AL18" s="3100"/>
      <c r="AM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W18" s="514">
        <v>52</v>
      </c>
    </row>
    <row customHeight="1" ht="60">
      <c r="A19" s="514"/>
      <c r="C19" s="535"/>
      <c r="D19" s="530">
        <v>5</v>
      </c>
      <c r="E19" s="1939" t="str">
        <f>TP_P_G</f>
        <v>Резерв мощности источников тепловой энергии, входящих в систему теплоснабжения, в течение одного квартала, в том числе:</v>
      </c>
      <c r="F19" s="530" t="str">
        <f>IF(TEMPLATE_SPHERE="HEAT","Гкал/час","тыс. куб. м/сутки")</f>
        <v>Гкал/час</v>
      </c>
      <c r="G19" s="696">
        <f>SUM(G20:G22)</f>
        <v>0</v>
      </c>
      <c r="H19" s="696">
        <f>SUM(H20:H22)</f>
        <v>0.2</v>
      </c>
      <c r="I19" s="696">
        <f>SUM(I20:I22)</f>
        <v>0.9</v>
      </c>
      <c r="J19" s="696">
        <f>SUM(J20:J22)</f>
        <v>0.09</v>
      </c>
      <c r="K19" s="696">
        <f>SUM(K20:K22)</f>
        <v>0.66</v>
      </c>
      <c r="L19" s="696">
        <f>SUM(L20:L22)</f>
        <v>0.11</v>
      </c>
      <c r="M19" s="696">
        <f>SUM(M20:M22)</f>
        <v>0</v>
      </c>
      <c r="N19" s="696">
        <f>SUM(N20:N22)</f>
        <v>0</v>
      </c>
      <c r="O19" s="696">
        <f>SUM(O20:O22)</f>
        <v>1.912</v>
      </c>
      <c r="P19" s="696">
        <f>SUM(P20:P22)</f>
        <v>0.12</v>
      </c>
      <c r="Q19" s="696">
        <f>SUM(Q20:Q22)</f>
        <v>2.36</v>
      </c>
      <c r="R19" s="696">
        <f>SUM(R20:R22)</f>
        <v>4.458</v>
      </c>
      <c r="S19" s="696">
        <f>SUM(S20:S22)</f>
        <v>0</v>
      </c>
      <c r="T19" s="696">
        <f>SUM(T20:T22)</f>
        <v>0</v>
      </c>
      <c r="U19" s="696">
        <f>SUM(U20:U22)</f>
        <v>0</v>
      </c>
      <c r="V19" s="696">
        <f>SUM(V20:V22)</f>
        <v>0</v>
      </c>
      <c r="W19" s="696">
        <f>SUM(W20:W22)</f>
        <v>0</v>
      </c>
      <c r="X19" s="696">
        <f>SUM(X20:X22)</f>
        <v>0</v>
      </c>
      <c r="Y19" s="696">
        <f>SUM(Y20:Y22)</f>
        <v>10.4</v>
      </c>
      <c r="Z19" s="696">
        <f>SUM(Z20:Z22)</f>
        <v>0</v>
      </c>
      <c r="AA19" s="696">
        <f>SUM(AA20:AA22)</f>
        <v>4.6</v>
      </c>
      <c r="AB19" s="696">
        <f>SUM(AB20:AB22)</f>
        <v>1.57</v>
      </c>
      <c r="AC19" s="696">
        <f>SUM(AC20:AC22)</f>
        <v>0.75</v>
      </c>
      <c r="AD19" s="696">
        <f>SUM(AD20:AD22)</f>
        <v>3.44</v>
      </c>
      <c r="AE19" s="696">
        <f>SUM(AE20:AE22)</f>
        <v>3.64</v>
      </c>
      <c r="AF19" s="696">
        <f>SUM(AF20:AF22)</f>
        <v>0</v>
      </c>
      <c r="AG19" s="696">
        <f>SUM(AG20:AG22)</f>
        <v>0</v>
      </c>
      <c r="AH19" s="696">
        <f>SUM(AH20:AH22)</f>
        <v>0</v>
      </c>
      <c r="AI19" s="696">
        <f>SUM(AI20:AI22)</f>
        <v>0.82</v>
      </c>
      <c r="AJ19" s="696">
        <f>SUM(AJ20:AJ22)</f>
        <v>0</v>
      </c>
      <c r="AK19" s="696">
        <f>SUM(AK20:AK22)</f>
        <v>0</v>
      </c>
      <c r="AL19" s="696">
        <f>SUM(AL20:AL22)</f>
        <v>0</v>
      </c>
      <c r="AM19" s="21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W19" s="514">
        <v>57</v>
      </c>
    </row>
    <row customHeight="1" ht="15" hidden="1">
      <c r="D20" s="518" t="s">
        <v>1218</v>
      </c>
      <c r="E20" s="697"/>
      <c r="F20" s="518"/>
      <c r="G20" s="518"/>
      <c r="H20" s="518"/>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644"/>
      <c r="AM20" s="1772"/>
      <c r="AW20" s="514">
        <v>0</v>
      </c>
    </row>
    <row customHeight="1" ht="29.25">
      <c r="C21" s="460"/>
      <c r="D21" s="548" t="s">
        <v>386</v>
      </c>
      <c r="E21" s="2585" t="s">
        <v>1219</v>
      </c>
      <c r="F21" s="1770" t="str">
        <f>IF(TEMPLATE_SPHERE="HEAT","Гкал/час","тыс. куб. м/сутки")</f>
        <v>Гкал/час</v>
      </c>
      <c r="G21" s="689"/>
      <c r="H21" s="689">
        <v>0.2</v>
      </c>
      <c r="I21" s="689">
        <v>0.9</v>
      </c>
      <c r="J21" s="689">
        <v>0.09</v>
      </c>
      <c r="K21" s="689">
        <v>0.66</v>
      </c>
      <c r="L21" s="689">
        <v>0.11</v>
      </c>
      <c r="M21" s="689"/>
      <c r="N21" s="689"/>
      <c r="O21" s="689">
        <v>1.912</v>
      </c>
      <c r="P21" s="689">
        <v>0.12</v>
      </c>
      <c r="Q21" s="689">
        <v>2.36</v>
      </c>
      <c r="R21" s="689">
        <v>4.458</v>
      </c>
      <c r="S21" s="689"/>
      <c r="T21" s="689"/>
      <c r="U21" s="689"/>
      <c r="V21" s="689"/>
      <c r="W21" s="689"/>
      <c r="X21" s="689"/>
      <c r="Y21" s="689">
        <v>10.4</v>
      </c>
      <c r="Z21" s="689"/>
      <c r="AA21" s="689">
        <v>4.6</v>
      </c>
      <c r="AB21" s="689">
        <v>1.57</v>
      </c>
      <c r="AC21" s="689">
        <v>0.75</v>
      </c>
      <c r="AD21" s="689">
        <v>3.44</v>
      </c>
      <c r="AE21" s="689">
        <v>3.64</v>
      </c>
      <c r="AF21" s="689"/>
      <c r="AG21" s="689"/>
      <c r="AH21" s="689"/>
      <c r="AI21" s="689">
        <v>0.82</v>
      </c>
      <c r="AJ21" s="689"/>
      <c r="AK21" s="689"/>
      <c r="AL21" s="689"/>
      <c r="AM21" s="2178"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W21" s="514">
        <v>28</v>
      </c>
    </row>
    <row customHeight="1" ht="15.75">
      <c r="A22" s="514"/>
      <c r="C22" s="514"/>
      <c r="D22" s="356"/>
      <c r="E22" s="589" t="s">
        <v>1220</v>
      </c>
      <c r="F22" s="581"/>
      <c r="G22" s="581"/>
      <c r="H22" s="581"/>
      <c r="I22" s="3101"/>
      <c r="J22" s="3102"/>
      <c r="K22" s="3103"/>
      <c r="L22" s="3104"/>
      <c r="M22" s="3105"/>
      <c r="N22" s="3106"/>
      <c r="O22" s="3107"/>
      <c r="P22" s="3108"/>
      <c r="Q22" s="3109"/>
      <c r="R22" s="3110"/>
      <c r="S22" s="3111"/>
      <c r="T22" s="3112"/>
      <c r="U22" s="3113"/>
      <c r="V22" s="3114"/>
      <c r="W22" s="3115"/>
      <c r="X22" s="3116"/>
      <c r="Y22" s="3117"/>
      <c r="Z22" s="3118"/>
      <c r="AA22" s="3119"/>
      <c r="AB22" s="3120"/>
      <c r="AC22" s="3121"/>
      <c r="AD22" s="3122"/>
      <c r="AE22" s="3123"/>
      <c r="AF22" s="3124"/>
      <c r="AG22" s="3125"/>
      <c r="AH22" s="3126"/>
      <c r="AI22" s="3127"/>
      <c r="AJ22" s="3184"/>
      <c r="AK22" s="3185"/>
      <c r="AL22" s="3186"/>
      <c r="AM22" s="2180"/>
      <c r="AV22" s="514"/>
      <c r="AW22" s="514">
        <v>15</v>
      </c>
    </row>
    <row customHeight="1" ht="22.5" hidden="1">
      <c r="A23" s="458" t="s">
        <v>82</v>
      </c>
      <c r="B23" s="514">
        <v>0</v>
      </c>
      <c r="C23" s="692">
        <v>4</v>
      </c>
      <c r="D23" s="514">
        <v>6</v>
      </c>
      <c r="E23" s="514">
        <v>36</v>
      </c>
      <c r="F23" s="514">
        <v>9</v>
      </c>
      <c r="G23" s="767">
        <v>0</v>
      </c>
      <c r="H23" s="514">
        <v>40</v>
      </c>
      <c r="I23" s="1644">
        <v>0</v>
      </c>
      <c r="J23" s="1644">
        <v>0</v>
      </c>
      <c r="K23" s="1644">
        <v>0</v>
      </c>
      <c r="L23" s="1644">
        <v>0</v>
      </c>
      <c r="M23" s="1644">
        <v>0</v>
      </c>
      <c r="N23" s="1644">
        <v>0</v>
      </c>
      <c r="O23" s="1644">
        <v>0</v>
      </c>
      <c r="P23" s="1644">
        <v>0</v>
      </c>
      <c r="Q23" s="1644">
        <v>0</v>
      </c>
      <c r="R23" s="1644">
        <v>0</v>
      </c>
      <c r="S23" s="1644">
        <v>0</v>
      </c>
      <c r="T23" s="1644">
        <v>0</v>
      </c>
      <c r="U23" s="1644">
        <v>0</v>
      </c>
      <c r="V23" s="1644">
        <v>0</v>
      </c>
      <c r="W23" s="1644">
        <v>0</v>
      </c>
      <c r="X23" s="1644">
        <v>0</v>
      </c>
      <c r="Y23" s="1644">
        <v>0</v>
      </c>
      <c r="Z23" s="1644">
        <v>0</v>
      </c>
      <c r="AA23" s="1644">
        <v>0</v>
      </c>
      <c r="AB23" s="1644">
        <v>0</v>
      </c>
      <c r="AC23" s="1644">
        <v>0</v>
      </c>
      <c r="AD23" s="1644">
        <v>0</v>
      </c>
      <c r="AE23" s="1644">
        <v>0</v>
      </c>
      <c r="AF23" s="1644">
        <v>0</v>
      </c>
      <c r="AG23" s="1644">
        <v>0</v>
      </c>
      <c r="AH23" s="1644">
        <v>0</v>
      </c>
      <c r="AI23" s="1644">
        <v>0</v>
      </c>
      <c r="AJ23" s="1644">
        <v>0</v>
      </c>
      <c r="AK23" s="1644">
        <v>0</v>
      </c>
      <c r="AL23" s="1644">
        <v>0</v>
      </c>
      <c r="AM23" s="426">
        <v>93</v>
      </c>
      <c r="AN23" s="514">
        <v>10</v>
      </c>
      <c r="AO23" s="514">
        <v>10</v>
      </c>
      <c r="AP23" s="514">
        <v>10</v>
      </c>
      <c r="AQ23" s="514">
        <v>10</v>
      </c>
      <c r="AR23" s="514">
        <v>10</v>
      </c>
      <c r="AS23" s="514">
        <v>10</v>
      </c>
      <c r="AT23" s="514">
        <v>10</v>
      </c>
      <c r="AU23" s="514">
        <v>10</v>
      </c>
      <c r="AV23" s="684">
        <v>10</v>
      </c>
      <c r="AW23" s="514">
        <v>23</v>
      </c>
    </row>
  </sheetData>
  <sheetProtection formatColumns="0" formatRows="0" autoFilter="0" sort="0" insertRows="0" insertColumns="1" deleteRows="0" deleteColumns="0"/>
  <mergeCells count="8">
    <mergeCell ref="AM21:AM22"/>
    <mergeCell ref="AM9:AM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AL2 G21:AL21">
      <formula1>-9.99999999999999E+23</formula1>
      <formula2>9.99999999999999E+23</formula2>
    </dataValidation>
    <dataValidation type="whole" allowBlank="1" showErrorMessage="1" errorTitle="Ошибка" error="Допускается ввод только неотрицательных целых чисел!" sqref="G15:AL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AL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1B6492-431D-0DCD-ABA3-0.329D1A5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4"/>
      <c r="F5" s="2464"/>
      <c r="G5" s="2465"/>
      <c r="Q5" s="92">
        <v>28</v>
      </c>
    </row>
    <row s="1644" customFormat="1" customHeight="1" ht="18.75">
      <c r="A6" s="891"/>
      <c r="B6" s="426"/>
      <c r="C6" s="385"/>
      <c r="D6" s="2466" t="str">
        <f>IF(org=0,"Не определено",org)</f>
        <v>ООО "СамРЭК-Тепло Жигулевск"</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373</v>
      </c>
      <c r="E9" s="2218"/>
      <c r="F9" s="2218"/>
      <c r="G9" s="2398" t="s">
        <v>374</v>
      </c>
      <c r="Q9" s="92">
        <v>14</v>
      </c>
    </row>
    <row customHeight="1" ht="24">
      <c r="C10" s="105"/>
      <c r="D10" s="114" t="s">
        <v>88</v>
      </c>
      <c r="E10" s="117" t="s">
        <v>375</v>
      </c>
      <c r="F10" s="117" t="s">
        <v>463</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7" t="s">
        <v>379</v>
      </c>
      <c r="G12" s="160"/>
      <c r="Q12" s="92">
        <v>62</v>
      </c>
    </row>
    <row customHeight="1" ht="24">
      <c r="A13" s="201"/>
      <c r="C13" s="105"/>
      <c r="D13" s="156" t="s">
        <v>1124</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379</v>
      </c>
      <c r="G13" s="160"/>
      <c r="Q13" s="92">
        <v>23</v>
      </c>
    </row>
    <row customHeight="1" ht="14.699999999999998">
      <c r="A14" s="201"/>
      <c r="C14" s="105"/>
      <c r="D14" s="156" t="s">
        <v>1160</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1221</v>
      </c>
      <c r="F15" s="210"/>
      <c r="G15" s="2180"/>
      <c r="Q15" s="92">
        <v>15</v>
      </c>
    </row>
    <row customHeight="1" ht="14.699999999999998">
      <c r="A16" s="201"/>
      <c r="C16" s="105"/>
      <c r="D16" s="156" t="s">
        <v>1126</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7" t="s">
        <v>379</v>
      </c>
      <c r="G16" s="346"/>
      <c r="Q16" s="92">
        <v>14</v>
      </c>
    </row>
    <row customHeight="1" ht="14.699999999999998">
      <c r="A17" s="201"/>
      <c r="C17" s="105"/>
      <c r="D17" s="156" t="s">
        <v>1168</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1222</v>
      </c>
      <c r="F18" s="347"/>
      <c r="G18" s="2180"/>
      <c r="I18" s="359"/>
      <c r="J18" s="359"/>
      <c r="Q18" s="351">
        <v>21</v>
      </c>
    </row>
    <row s="1644" customFormat="1" customHeight="1" ht="256.5" hidden="1">
      <c r="A19" s="352"/>
      <c r="B19" s="426"/>
      <c r="C19" s="385"/>
      <c r="D19" s="893" t="s">
        <v>1128</v>
      </c>
      <c r="E19" s="892" t="s">
        <v>1223</v>
      </c>
      <c r="F19" s="394"/>
      <c r="G19" s="346" t="s">
        <v>1224</v>
      </c>
      <c r="I19" s="509"/>
      <c r="J19" s="509"/>
      <c r="Q19" s="767">
        <v>0</v>
      </c>
    </row>
    <row s="1644" customFormat="1" customHeight="1" ht="14.699999999999998">
      <c r="A20" s="352"/>
      <c r="B20" s="155"/>
      <c r="C20" s="316"/>
      <c r="D20" s="894">
        <v>2</v>
      </c>
      <c r="E20" s="339" t="s">
        <v>1225</v>
      </c>
      <c r="F20" s="207" t="s">
        <v>379</v>
      </c>
      <c r="G20" s="346"/>
      <c r="I20" s="359"/>
      <c r="J20" s="359"/>
      <c r="Q20" s="351">
        <v>14</v>
      </c>
    </row>
    <row s="1644" customFormat="1" customHeight="1" ht="18.75" hidden="1">
      <c r="A21" s="352"/>
      <c r="B21" s="155"/>
      <c r="C21" s="316"/>
      <c r="D21" s="342" t="s">
        <v>739</v>
      </c>
      <c r="E21" s="341"/>
      <c r="F21" s="340"/>
      <c r="G21" s="350"/>
      <c r="H21" s="343"/>
      <c r="I21" s="359"/>
      <c r="J21" s="359"/>
      <c r="Q21" s="351">
        <v>0</v>
      </c>
    </row>
    <row customHeight="1" ht="15.75">
      <c r="A22" s="201"/>
      <c r="C22" s="105"/>
      <c r="D22" s="118"/>
      <c r="E22" s="212" t="s">
        <v>395</v>
      </c>
      <c r="F22" s="347"/>
      <c r="G22" s="348"/>
      <c r="Q22" s="92">
        <v>15</v>
      </c>
    </row>
    <row s="1644" customFormat="1" customHeight="1" ht="22.5" hidden="1">
      <c r="A23" s="352"/>
      <c r="B23" s="1169"/>
      <c r="C23" s="385"/>
      <c r="D23" s="1682" t="s">
        <v>110</v>
      </c>
      <c r="E23" s="206" t="s">
        <v>1226</v>
      </c>
      <c r="F23" s="1679" t="s">
        <v>379</v>
      </c>
      <c r="G23" s="354"/>
      <c r="I23" s="1633"/>
      <c r="J23" s="1633"/>
      <c r="Q23" s="1640">
        <v>0</v>
      </c>
    </row>
    <row s="1644" customFormat="1" customHeight="1" ht="14.25" hidden="1">
      <c r="A24" s="352"/>
      <c r="B24" s="1169"/>
      <c r="C24" s="385"/>
      <c r="D24" s="1682" t="s">
        <v>811</v>
      </c>
      <c r="E24" s="1681" t="s">
        <v>1227</v>
      </c>
      <c r="F24" s="1679" t="s">
        <v>379</v>
      </c>
      <c r="G24" s="346"/>
      <c r="I24" s="1633"/>
      <c r="J24" s="1633"/>
      <c r="Q24" s="1640">
        <v>0</v>
      </c>
    </row>
    <row s="1644" customFormat="1" customHeight="1" ht="14.25" hidden="1">
      <c r="A25" s="352"/>
      <c r="B25" s="1169"/>
      <c r="C25" s="385"/>
      <c r="D25" s="1682" t="s">
        <v>814</v>
      </c>
      <c r="E25" s="204"/>
      <c r="F25" s="394"/>
      <c r="G25" s="2178" t="s">
        <v>1228</v>
      </c>
      <c r="I25" s="1633"/>
      <c r="J25" s="1633"/>
      <c r="Q25" s="1640">
        <v>0</v>
      </c>
    </row>
    <row s="1644" customFormat="1" customHeight="1" ht="22.5" hidden="1">
      <c r="A26" s="352"/>
      <c r="B26" s="1169"/>
      <c r="C26" s="385"/>
      <c r="D26" s="356"/>
      <c r="E26" s="358" t="s">
        <v>1229</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82</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2FAF38-4D37-AD1B-CEBC-0.D86399D5}"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121</v>
      </c>
      <c r="D2" s="1682"/>
      <c r="E2" s="208"/>
      <c r="F2" s="1679"/>
      <c r="G2" s="1679" t="s">
        <v>379</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121</v>
      </c>
      <c r="D4" s="1682"/>
      <c r="E4" s="214" t="s">
        <v>1230</v>
      </c>
      <c r="F4" s="1679"/>
      <c r="G4" s="266"/>
      <c r="H4" s="1679" t="s">
        <v>379</v>
      </c>
      <c r="K4" s="1633"/>
      <c r="L4" s="1633"/>
      <c r="M4" s="1640">
        <v>0</v>
      </c>
    </row>
    <row s="1644" customFormat="1" customHeight="1" ht="14.25" hidden="1">
      <c r="A5" s="1371"/>
      <c r="B5" s="1169"/>
      <c r="C5" s="353"/>
      <c r="K5" s="1633"/>
      <c r="L5" s="1633"/>
      <c r="M5" s="1640">
        <v>0</v>
      </c>
    </row>
    <row s="1644" customFormat="1" customHeight="1" ht="18.75" hidden="1">
      <c r="A6" s="1692"/>
      <c r="B6" s="1169"/>
      <c r="C6" s="1739" t="s">
        <v>121</v>
      </c>
      <c r="D6" s="1682"/>
      <c r="E6" s="215" t="s">
        <v>1231</v>
      </c>
      <c r="F6" s="1679"/>
      <c r="G6" s="266"/>
      <c r="H6" s="1679" t="s">
        <v>379</v>
      </c>
      <c r="K6" s="1633"/>
      <c r="L6" s="1633"/>
      <c r="M6" s="1640">
        <v>0</v>
      </c>
    </row>
    <row s="1644" customFormat="1" customHeight="1" ht="14.25" hidden="1">
      <c r="A7" s="1371"/>
      <c r="B7" s="1169"/>
      <c r="C7" s="353"/>
      <c r="K7" s="1633"/>
      <c r="L7" s="1633"/>
      <c r="M7" s="1640">
        <v>0</v>
      </c>
    </row>
    <row s="1644" customFormat="1" customHeight="1" ht="18.75" hidden="1">
      <c r="A8" s="1692"/>
      <c r="B8" s="1169"/>
      <c r="C8" s="1739" t="s">
        <v>121</v>
      </c>
      <c r="D8" s="1682"/>
      <c r="E8" s="215" t="s">
        <v>1232</v>
      </c>
      <c r="F8" s="1679"/>
      <c r="G8" s="266"/>
      <c r="H8" s="1679" t="s">
        <v>379</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121</v>
      </c>
      <c r="D10" s="1682"/>
      <c r="E10" s="215" t="s">
        <v>1233</v>
      </c>
      <c r="F10" s="1679"/>
      <c r="G10" s="1683"/>
      <c r="H10" s="1679" t="s">
        <v>379</v>
      </c>
      <c r="K10" s="1633"/>
      <c r="L10" s="1633" t="s">
        <v>1234</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4"/>
      <c r="F14" s="2464"/>
      <c r="G14" s="2464"/>
      <c r="H14" s="2465"/>
      <c r="J14" s="1640"/>
      <c r="M14" s="92">
        <v>28</v>
      </c>
    </row>
    <row s="1644" customFormat="1" customHeight="1" ht="14.699999999999998">
      <c r="A15" s="1371"/>
      <c r="B15" s="1169"/>
      <c r="C15" s="385"/>
      <c r="D15" s="2466" t="str">
        <f>IF(org=0,"Не определено",org)</f>
        <v>ООО "СамРЭК-Тепло Жигулевск"</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373</v>
      </c>
      <c r="E18" s="2218"/>
      <c r="F18" s="2218"/>
      <c r="G18" s="2218"/>
      <c r="H18" s="2218"/>
      <c r="I18" s="2398" t="s">
        <v>374</v>
      </c>
      <c r="M18" s="92">
        <v>21</v>
      </c>
    </row>
    <row customHeight="1" ht="22.049999999999997">
      <c r="C19" s="105"/>
      <c r="D19" s="114" t="s">
        <v>88</v>
      </c>
      <c r="E19" s="117" t="s">
        <v>375</v>
      </c>
      <c r="F19" s="117"/>
      <c r="G19" s="117" t="s">
        <v>376</v>
      </c>
      <c r="H19" s="117" t="s">
        <v>463</v>
      </c>
      <c r="I19" s="2398"/>
      <c r="M19" s="92">
        <v>21</v>
      </c>
    </row>
    <row customHeight="1" ht="12" hidden="1">
      <c r="C20" s="105"/>
      <c r="D20" s="96"/>
      <c r="E20" s="96"/>
      <c r="F20" s="96"/>
      <c r="G20" s="96"/>
      <c r="H20" s="96"/>
      <c r="I20" s="96"/>
      <c r="M20" s="92">
        <v>0</v>
      </c>
    </row>
    <row customHeight="1" ht="14.699999999999998">
      <c r="A21" s="1692"/>
      <c r="C21" s="105"/>
      <c r="D21" s="156">
        <v>1</v>
      </c>
      <c r="E21" s="2470" t="s">
        <v>1235</v>
      </c>
      <c r="F21" s="2470"/>
      <c r="G21" s="2470"/>
      <c r="H21" s="2470"/>
      <c r="I21" s="217"/>
      <c r="M21" s="92">
        <v>14</v>
      </c>
    </row>
    <row customHeight="1" ht="21">
      <c r="A22" s="1692"/>
      <c r="C22" s="105"/>
      <c r="D22" s="156" t="s">
        <v>1124</v>
      </c>
      <c r="E22" s="203" t="s">
        <v>1236</v>
      </c>
      <c r="F22" s="207"/>
      <c r="G22" s="1746"/>
      <c r="H22" s="207" t="s">
        <v>379</v>
      </c>
      <c r="I22" s="160" t="s">
        <v>1237</v>
      </c>
      <c r="M22" s="92">
        <v>20</v>
      </c>
    </row>
    <row customHeight="1" ht="60">
      <c r="A23" s="1692"/>
      <c r="C23" s="105"/>
      <c r="D23" s="156" t="s">
        <v>1126</v>
      </c>
      <c r="E23" s="203" t="s">
        <v>1238</v>
      </c>
      <c r="F23" s="207"/>
      <c r="G23" s="266"/>
      <c r="H23" s="222"/>
      <c r="I23" s="267" t="s">
        <v>1239</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7"/>
      <c r="G24" s="207" t="s">
        <v>379</v>
      </c>
      <c r="H24" s="222"/>
      <c r="I24" s="268" t="s">
        <v>734</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9"/>
      <c r="G25" s="2469"/>
      <c r="H25" s="2469"/>
      <c r="I25" s="265"/>
      <c r="M25" s="92">
        <v>46</v>
      </c>
    </row>
    <row customHeight="1" ht="14.699999999999998">
      <c r="A26" s="1692"/>
      <c r="C26" s="105"/>
      <c r="D26" s="156" t="s">
        <v>397</v>
      </c>
      <c r="E26" s="208"/>
      <c r="F26" s="207"/>
      <c r="G26" s="207" t="s">
        <v>379</v>
      </c>
      <c r="H26" s="222"/>
      <c r="I26" s="2178" t="s">
        <v>1240</v>
      </c>
      <c r="M26" s="92">
        <v>14</v>
      </c>
    </row>
    <row customHeight="1" ht="15.75">
      <c r="A27" s="1692" t="s">
        <v>109</v>
      </c>
      <c r="C27" s="105"/>
      <c r="D27" s="118"/>
      <c r="E27" s="212" t="s">
        <v>395</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9"/>
      <c r="G28" s="2469"/>
      <c r="H28" s="2469"/>
      <c r="I28" s="265"/>
      <c r="M28" s="92">
        <v>38</v>
      </c>
    </row>
    <row customHeight="1" ht="21">
      <c r="A29" s="1692"/>
      <c r="C29" s="105"/>
      <c r="D29" s="156" t="s">
        <v>856</v>
      </c>
      <c r="E29" s="214" t="s">
        <v>1230</v>
      </c>
      <c r="F29" s="207"/>
      <c r="G29" s="266"/>
      <c r="H29" s="207" t="s">
        <v>379</v>
      </c>
      <c r="I29" s="2178" t="s">
        <v>1241</v>
      </c>
      <c r="M29" s="92">
        <v>20</v>
      </c>
    </row>
    <row customHeight="1" ht="15.75">
      <c r="A30" s="1692" t="s">
        <v>110</v>
      </c>
      <c r="C30" s="105"/>
      <c r="D30" s="118"/>
      <c r="E30" s="212" t="s">
        <v>395</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9"/>
      <c r="G31" s="2469"/>
      <c r="H31" s="2469"/>
      <c r="I31" s="265"/>
      <c r="M31" s="92">
        <v>30</v>
      </c>
    </row>
    <row customHeight="1" ht="27.299999999999997">
      <c r="A32" s="1692"/>
      <c r="C32" s="105"/>
      <c r="D32" s="156" t="s">
        <v>386</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2"/>
      <c r="G32" s="2412"/>
      <c r="H32" s="2412"/>
      <c r="I32" s="265"/>
      <c r="M32" s="92">
        <v>26</v>
      </c>
    </row>
    <row customHeight="1" ht="14.699999999999998">
      <c r="A33" s="1692"/>
      <c r="C33" s="105"/>
      <c r="D33" s="156" t="s">
        <v>1242</v>
      </c>
      <c r="E33" s="215" t="s">
        <v>1231</v>
      </c>
      <c r="F33" s="207"/>
      <c r="G33" s="266"/>
      <c r="H33" s="207" t="s">
        <v>379</v>
      </c>
      <c r="I33" s="2178" t="s">
        <v>1243</v>
      </c>
      <c r="M33" s="92">
        <v>14</v>
      </c>
    </row>
    <row customHeight="1" ht="15.75">
      <c r="A34" s="1692" t="s">
        <v>90</v>
      </c>
      <c r="C34" s="105"/>
      <c r="D34" s="118"/>
      <c r="E34" s="213" t="s">
        <v>395</v>
      </c>
      <c r="F34" s="209"/>
      <c r="G34" s="209"/>
      <c r="H34" s="210"/>
      <c r="I34" s="2180"/>
      <c r="M34" s="92">
        <v>15</v>
      </c>
    </row>
    <row customHeight="1" ht="25.2">
      <c r="A35" s="1692"/>
      <c r="C35" s="105"/>
      <c r="D35" s="156" t="s">
        <v>984</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2"/>
      <c r="G35" s="2412"/>
      <c r="H35" s="2412"/>
      <c r="I35" s="265"/>
      <c r="M35" s="92">
        <v>24</v>
      </c>
    </row>
    <row customHeight="1" ht="14.699999999999998">
      <c r="A36" s="1692"/>
      <c r="C36" s="105"/>
      <c r="D36" s="156" t="s">
        <v>1244</v>
      </c>
      <c r="E36" s="215" t="s">
        <v>1232</v>
      </c>
      <c r="F36" s="207"/>
      <c r="G36" s="266"/>
      <c r="H36" s="207" t="s">
        <v>379</v>
      </c>
      <c r="I36" s="2152" t="s">
        <v>1245</v>
      </c>
      <c r="M36" s="92">
        <v>14</v>
      </c>
    </row>
    <row customHeight="1" ht="15.75">
      <c r="A37" s="1692" t="s">
        <v>91</v>
      </c>
      <c r="C37" s="105"/>
      <c r="D37" s="118"/>
      <c r="E37" s="213" t="s">
        <v>395</v>
      </c>
      <c r="F37" s="209"/>
      <c r="G37" s="209"/>
      <c r="H37" s="210"/>
      <c r="I37" s="2152"/>
      <c r="M37" s="92">
        <v>15</v>
      </c>
    </row>
    <row customHeight="1" ht="27.299999999999997">
      <c r="A38" s="1692"/>
      <c r="C38" s="105"/>
      <c r="D38" s="156" t="s">
        <v>985</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2"/>
      <c r="G38" s="2412"/>
      <c r="H38" s="2412"/>
      <c r="I38" s="265"/>
      <c r="M38" s="92">
        <v>26</v>
      </c>
    </row>
    <row customHeight="1" ht="14.699999999999998">
      <c r="A39" s="1692"/>
      <c r="C39" s="105"/>
      <c r="D39" s="156" t="s">
        <v>986</v>
      </c>
      <c r="E39" s="215" t="s">
        <v>1233</v>
      </c>
      <c r="F39" s="207"/>
      <c r="G39" s="216"/>
      <c r="H39" s="207" t="s">
        <v>379</v>
      </c>
      <c r="I39" s="2178" t="s">
        <v>1246</v>
      </c>
      <c r="L39" s="164" t="s">
        <v>1234</v>
      </c>
      <c r="M39" s="92">
        <v>14</v>
      </c>
    </row>
    <row customHeight="1" ht="15.75">
      <c r="A40" s="1692" t="s">
        <v>111</v>
      </c>
      <c r="C40" s="105"/>
      <c r="D40" s="118"/>
      <c r="E40" s="213" t="s">
        <v>395</v>
      </c>
      <c r="F40" s="209"/>
      <c r="G40" s="209"/>
      <c r="H40" s="210"/>
      <c r="I40" s="2180"/>
      <c r="M40" s="92">
        <v>15</v>
      </c>
    </row>
    <row s="1832" customFormat="1" customHeight="1" ht="3">
      <c r="A41" s="1692"/>
      <c r="K41" s="205"/>
      <c r="L41" s="205"/>
      <c r="M41" s="149">
        <v>3</v>
      </c>
    </row>
    <row customHeight="1" ht="26.25">
      <c r="D42" s="1690" t="s">
        <v>906</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4"/>
      <c r="G42" s="2294"/>
      <c r="H42" s="2294"/>
      <c r="I42" s="2294"/>
      <c r="M42" s="92">
        <v>25</v>
      </c>
    </row>
    <row customHeight="1" ht="22.5" hidden="1">
      <c r="A43" s="1371" t="s">
        <v>82</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9BC3-024D-3CB6-C60D-0.77E5998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230</v>
      </c>
      <c r="B2" s="1789" t="s">
        <v>231</v>
      </c>
      <c r="C2" s="378"/>
      <c r="D2" s="353"/>
      <c r="E2" s="1040"/>
      <c r="F2" s="1040"/>
      <c r="G2" s="2436" t="str">
        <f>INDEX(PT_DIFFERENTIATION_NTAR,MATCH(B2,PT_DIFFERENTIATION_NTAR_ID,0))</f>
        <v/>
      </c>
      <c r="H2" s="1873"/>
      <c r="I2" s="1748"/>
      <c r="J2" s="1782"/>
      <c r="K2" s="1874"/>
      <c r="L2" s="1873" t="s">
        <v>379</v>
      </c>
      <c r="M2" s="1884"/>
      <c r="N2" s="343"/>
      <c r="O2" s="1633"/>
      <c r="P2" s="1633"/>
      <c r="AH2" s="1640">
        <v>0</v>
      </c>
    </row>
    <row s="1644" customFormat="1" customHeight="1" ht="18.75" hidden="1">
      <c r="A3" s="1789"/>
      <c r="B3" s="1789"/>
      <c r="C3" s="378" t="s">
        <v>1247</v>
      </c>
      <c r="D3" s="353"/>
      <c r="E3" s="1040"/>
      <c r="F3" s="1040"/>
      <c r="G3" s="2436"/>
      <c r="H3" s="1509"/>
      <c r="I3" s="660" t="s">
        <v>1248</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230</v>
      </c>
      <c r="B5" s="1789" t="s">
        <v>231</v>
      </c>
      <c r="C5" s="378"/>
      <c r="D5" s="353"/>
      <c r="E5" s="1040"/>
      <c r="F5" s="1040"/>
      <c r="G5" s="2436" t="str">
        <f>INDEX(PT_DIFFERENTIATION_NTAR,MATCH(B5,PT_DIFFERENTIATION_NTAR_ID,0))</f>
        <v/>
      </c>
      <c r="H5" s="1873"/>
      <c r="I5" s="1748"/>
      <c r="J5" s="1782"/>
      <c r="K5" s="1787"/>
      <c r="L5" s="1873" t="s">
        <v>379</v>
      </c>
      <c r="M5" s="1884"/>
      <c r="N5" s="343"/>
      <c r="O5" s="1633"/>
      <c r="P5" s="1633"/>
      <c r="AH5" s="1640">
        <v>0</v>
      </c>
    </row>
    <row s="1644" customFormat="1" customHeight="1" ht="18.75" hidden="1">
      <c r="A6" s="1789"/>
      <c r="B6" s="1789"/>
      <c r="C6" s="378" t="s">
        <v>1249</v>
      </c>
      <c r="D6" s="353"/>
      <c r="E6" s="1040"/>
      <c r="F6" s="1040"/>
      <c r="G6" s="2436"/>
      <c r="H6" s="1509"/>
      <c r="I6" s="660" t="s">
        <v>1248</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379</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379</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373</v>
      </c>
      <c r="F19" s="2218"/>
      <c r="G19" s="2218"/>
      <c r="H19" s="2218"/>
      <c r="I19" s="2218"/>
      <c r="J19" s="2218"/>
      <c r="K19" s="2218"/>
      <c r="L19" s="2218"/>
      <c r="M19" s="2398" t="s">
        <v>374</v>
      </c>
      <c r="AH19" s="383">
        <v>21</v>
      </c>
    </row>
    <row customHeight="1" ht="22.049999999999997">
      <c r="D20" s="385"/>
      <c r="E20" s="2286" t="s">
        <v>88</v>
      </c>
      <c r="F20" s="2233" t="s">
        <v>203</v>
      </c>
      <c r="G20" s="2233" t="s">
        <v>204</v>
      </c>
      <c r="H20" s="2395" t="s">
        <v>1250</v>
      </c>
      <c r="I20" s="2396"/>
      <c r="J20" s="2442"/>
      <c r="K20" s="2233" t="s">
        <v>376</v>
      </c>
      <c r="L20" s="2233" t="s">
        <v>463</v>
      </c>
      <c r="M20" s="2398"/>
      <c r="AH20" s="383">
        <v>21</v>
      </c>
    </row>
    <row customHeight="1" ht="22.049999999999997">
      <c r="D21" s="385"/>
      <c r="E21" s="2288"/>
      <c r="F21" s="2234"/>
      <c r="G21" s="2234"/>
      <c r="H21" s="2227" t="s">
        <v>1251</v>
      </c>
      <c r="I21" s="2229"/>
      <c r="J21" s="117" t="s">
        <v>1252</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109</v>
      </c>
      <c r="F23" s="2477" t="str">
        <f>"Предлагаемый метод регулирования"&amp;IF(TEMPLATE_SPHERE="HEAT"," в сфере "&amp;TEMPLATE_SPHERE_RUS,"")</f>
        <v>Предлагаемый метод регулирования в сфере теплоснабжения</v>
      </c>
      <c r="G23" s="2478"/>
      <c r="H23" s="2470"/>
      <c r="I23" s="2470"/>
      <c r="J23" s="2470"/>
      <c r="K23" s="2478" t="s">
        <v>379</v>
      </c>
      <c r="L23" s="2470"/>
      <c r="M23" s="1778"/>
      <c r="N23" s="343"/>
      <c r="AH23" s="383">
        <v>19</v>
      </c>
    </row>
    <row customHeight="1" ht="60.75" hidden="1">
      <c r="A24" s="1789" t="s">
        <v>230</v>
      </c>
      <c r="B24" s="1789" t="s">
        <v>231</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379</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1247</v>
      </c>
      <c r="D25" s="2475"/>
      <c r="E25" s="2213"/>
      <c r="F25" s="2479"/>
      <c r="G25" s="2436"/>
      <c r="H25" s="1509"/>
      <c r="I25" s="660" t="s">
        <v>1248</v>
      </c>
      <c r="J25" s="580"/>
      <c r="K25" s="1509"/>
      <c r="L25" s="223"/>
      <c r="M25" s="2179"/>
      <c r="N25" s="343"/>
      <c r="O25" s="1633"/>
      <c r="P25" s="1633"/>
      <c r="AH25" s="1640">
        <v>0</v>
      </c>
    </row>
    <row customHeight="1" ht="0.75" hidden="1">
      <c r="A26" s="1789"/>
      <c r="B26" s="1789"/>
      <c r="C26" s="378" t="s">
        <v>1253</v>
      </c>
      <c r="D26" s="2475"/>
      <c r="E26" s="2213"/>
      <c r="F26" s="2392"/>
      <c r="G26" s="409"/>
      <c r="H26" s="1509"/>
      <c r="I26" s="404"/>
      <c r="J26" s="358"/>
      <c r="K26" s="1509"/>
      <c r="L26" s="210"/>
      <c r="M26" s="2179"/>
      <c r="N26" s="343"/>
      <c r="AH26" s="383">
        <v>0</v>
      </c>
    </row>
    <row s="1644" customFormat="1" customHeight="1" ht="45" hidden="1">
      <c r="A27" s="1789" t="s">
        <v>235</v>
      </c>
      <c r="B27" s="1789" t="s">
        <v>236</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379</v>
      </c>
      <c r="M27" s="2179"/>
      <c r="N27" s="343"/>
      <c r="O27" s="1633"/>
      <c r="P27" s="1633"/>
      <c r="AH27" s="1640">
        <v>0</v>
      </c>
    </row>
    <row s="1644" customFormat="1" customHeight="1" ht="18.75" hidden="1">
      <c r="A28" s="1789"/>
      <c r="B28" s="1789"/>
      <c r="C28" s="378" t="s">
        <v>1247</v>
      </c>
      <c r="D28" s="2471"/>
      <c r="E28" s="2472"/>
      <c r="F28" s="2473"/>
      <c r="G28" s="2436"/>
      <c r="H28" s="1509"/>
      <c r="I28" s="660" t="s">
        <v>1248</v>
      </c>
      <c r="J28" s="580"/>
      <c r="K28" s="1509"/>
      <c r="L28" s="223"/>
      <c r="M28" s="2179"/>
      <c r="N28" s="343"/>
      <c r="O28" s="1633"/>
      <c r="P28" s="1633"/>
      <c r="AH28" s="1640">
        <v>0</v>
      </c>
    </row>
    <row s="1644" customFormat="1" customHeight="1" ht="0.75" hidden="1">
      <c r="A29" s="1789"/>
      <c r="B29" s="1789"/>
      <c r="C29" s="378" t="s">
        <v>1253</v>
      </c>
      <c r="D29" s="2471"/>
      <c r="E29" s="2213"/>
      <c r="F29" s="2392"/>
      <c r="G29" s="409"/>
      <c r="H29" s="1509"/>
      <c r="I29" s="660"/>
      <c r="J29" s="580"/>
      <c r="K29" s="1509"/>
      <c r="L29" s="223"/>
      <c r="M29" s="2179"/>
      <c r="N29" s="343"/>
      <c r="O29" s="1633"/>
      <c r="P29" s="1633"/>
      <c r="AH29" s="1640">
        <v>0</v>
      </c>
    </row>
    <row s="1644" customFormat="1" customHeight="1" ht="45" hidden="1">
      <c r="A30" s="1789" t="s">
        <v>242</v>
      </c>
      <c r="B30" s="1789" t="s">
        <v>243</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379</v>
      </c>
      <c r="M30" s="2179"/>
      <c r="N30" s="343"/>
      <c r="O30" s="1633"/>
      <c r="P30" s="1633"/>
      <c r="AH30" s="1640">
        <v>0</v>
      </c>
    </row>
    <row s="1644" customFormat="1" customHeight="1" ht="18.75" hidden="1">
      <c r="A31" s="1789"/>
      <c r="B31" s="1789"/>
      <c r="C31" s="378" t="s">
        <v>1247</v>
      </c>
      <c r="D31" s="2471"/>
      <c r="E31" s="2213"/>
      <c r="F31" s="2392"/>
      <c r="G31" s="2436"/>
      <c r="H31" s="1509"/>
      <c r="I31" s="660" t="s">
        <v>1248</v>
      </c>
      <c r="J31" s="580"/>
      <c r="K31" s="1509"/>
      <c r="L31" s="223"/>
      <c r="M31" s="2179"/>
      <c r="N31" s="343"/>
      <c r="O31" s="1633"/>
      <c r="P31" s="1633"/>
      <c r="AH31" s="1640">
        <v>0</v>
      </c>
    </row>
    <row s="1644" customFormat="1" customHeight="1" ht="0.75" hidden="1">
      <c r="A32" s="1789"/>
      <c r="B32" s="1789"/>
      <c r="C32" s="378" t="s">
        <v>1253</v>
      </c>
      <c r="D32" s="2471"/>
      <c r="E32" s="2213"/>
      <c r="F32" s="2392"/>
      <c r="G32" s="409"/>
      <c r="H32" s="1509"/>
      <c r="I32" s="660"/>
      <c r="J32" s="580"/>
      <c r="K32" s="1509"/>
      <c r="L32" s="223"/>
      <c r="M32" s="2179"/>
      <c r="N32" s="343"/>
      <c r="O32" s="1633"/>
      <c r="P32" s="1633"/>
      <c r="AH32" s="1640">
        <v>0</v>
      </c>
    </row>
    <row s="1644" customFormat="1" customHeight="1" ht="45" hidden="1">
      <c r="A33" s="1789" t="s">
        <v>248</v>
      </c>
      <c r="B33" s="1789" t="s">
        <v>249</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379</v>
      </c>
      <c r="M33" s="2179"/>
      <c r="N33" s="343"/>
      <c r="O33" s="1633"/>
      <c r="P33" s="1633"/>
      <c r="AH33" s="1640">
        <v>0</v>
      </c>
    </row>
    <row s="1644" customFormat="1" customHeight="1" ht="18.75" hidden="1">
      <c r="A34" s="1789"/>
      <c r="B34" s="1789"/>
      <c r="C34" s="378" t="s">
        <v>1247</v>
      </c>
      <c r="D34" s="2471"/>
      <c r="E34" s="2213"/>
      <c r="F34" s="2392"/>
      <c r="G34" s="2436"/>
      <c r="H34" s="1509"/>
      <c r="I34" s="660" t="s">
        <v>1248</v>
      </c>
      <c r="J34" s="580"/>
      <c r="K34" s="1509"/>
      <c r="L34" s="223"/>
      <c r="M34" s="2179"/>
      <c r="N34" s="343"/>
      <c r="O34" s="1633"/>
      <c r="P34" s="1633"/>
      <c r="AH34" s="1640">
        <v>0</v>
      </c>
    </row>
    <row s="1644" customFormat="1" customHeight="1" ht="0.75" hidden="1">
      <c r="A35" s="1789"/>
      <c r="B35" s="1789"/>
      <c r="C35" s="378" t="s">
        <v>1253</v>
      </c>
      <c r="D35" s="2471"/>
      <c r="E35" s="2213"/>
      <c r="F35" s="2392"/>
      <c r="G35" s="409"/>
      <c r="H35" s="1509"/>
      <c r="I35" s="660"/>
      <c r="J35" s="580"/>
      <c r="K35" s="1509"/>
      <c r="L35" s="223"/>
      <c r="M35" s="2179"/>
      <c r="N35" s="343"/>
      <c r="O35" s="1633"/>
      <c r="P35" s="1633"/>
      <c r="AH35" s="1640">
        <v>0</v>
      </c>
    </row>
    <row s="1644" customFormat="1" customHeight="1" ht="18.75" hidden="1">
      <c r="A36" s="1789" t="s">
        <v>254</v>
      </c>
      <c r="B36" s="1789" t="s">
        <v>255</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379</v>
      </c>
      <c r="M36" s="2179"/>
      <c r="N36" s="343"/>
      <c r="O36" s="1633"/>
      <c r="P36" s="1633"/>
      <c r="AH36" s="1640">
        <v>0</v>
      </c>
    </row>
    <row s="1644" customFormat="1" customHeight="1" ht="18.75" hidden="1">
      <c r="A37" s="1789"/>
      <c r="B37" s="1789"/>
      <c r="C37" s="378" t="s">
        <v>1247</v>
      </c>
      <c r="D37" s="2471"/>
      <c r="E37" s="2213"/>
      <c r="F37" s="2392"/>
      <c r="G37" s="2436"/>
      <c r="H37" s="1509"/>
      <c r="I37" s="660" t="s">
        <v>1248</v>
      </c>
      <c r="J37" s="580"/>
      <c r="K37" s="1509"/>
      <c r="L37" s="223"/>
      <c r="M37" s="2179"/>
      <c r="N37" s="343"/>
      <c r="O37" s="1633"/>
      <c r="P37" s="1633"/>
      <c r="AH37" s="1640">
        <v>0</v>
      </c>
    </row>
    <row s="1644" customFormat="1" customHeight="1" ht="0.75" hidden="1">
      <c r="A38" s="1789"/>
      <c r="B38" s="1789"/>
      <c r="C38" s="378" t="s">
        <v>1253</v>
      </c>
      <c r="D38" s="2471"/>
      <c r="E38" s="2213"/>
      <c r="F38" s="2392"/>
      <c r="G38" s="409"/>
      <c r="H38" s="1509"/>
      <c r="I38" s="660"/>
      <c r="J38" s="580"/>
      <c r="K38" s="1509"/>
      <c r="L38" s="223"/>
      <c r="M38" s="2179"/>
      <c r="N38" s="343"/>
      <c r="O38" s="1633"/>
      <c r="P38" s="1633"/>
      <c r="AH38" s="1640">
        <v>0</v>
      </c>
    </row>
    <row s="1644" customFormat="1" customHeight="1" ht="18.75" hidden="1">
      <c r="A39" s="1789" t="s">
        <v>260</v>
      </c>
      <c r="B39" s="1789" t="s">
        <v>261</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379</v>
      </c>
      <c r="M39" s="2179"/>
      <c r="N39" s="343"/>
      <c r="O39" s="1633"/>
      <c r="P39" s="1633"/>
      <c r="AH39" s="1640">
        <v>0</v>
      </c>
    </row>
    <row s="1644" customFormat="1" customHeight="1" ht="18.75" hidden="1">
      <c r="A40" s="1789"/>
      <c r="B40" s="1789"/>
      <c r="C40" s="378" t="s">
        <v>1247</v>
      </c>
      <c r="D40" s="2471"/>
      <c r="E40" s="2213"/>
      <c r="F40" s="2392"/>
      <c r="G40" s="2436"/>
      <c r="H40" s="1509"/>
      <c r="I40" s="660" t="s">
        <v>1248</v>
      </c>
      <c r="J40" s="580"/>
      <c r="K40" s="1509"/>
      <c r="L40" s="223"/>
      <c r="M40" s="2179"/>
      <c r="N40" s="343"/>
      <c r="O40" s="1633"/>
      <c r="P40" s="1633"/>
      <c r="AH40" s="1640">
        <v>0</v>
      </c>
    </row>
    <row s="1644" customFormat="1" customHeight="1" ht="0.75" hidden="1">
      <c r="A41" s="1789"/>
      <c r="B41" s="1789"/>
      <c r="C41" s="378" t="s">
        <v>1253</v>
      </c>
      <c r="D41" s="2471"/>
      <c r="E41" s="2213"/>
      <c r="F41" s="2392"/>
      <c r="G41" s="409"/>
      <c r="H41" s="1509"/>
      <c r="I41" s="660"/>
      <c r="J41" s="580"/>
      <c r="K41" s="1509"/>
      <c r="L41" s="223"/>
      <c r="M41" s="2179"/>
      <c r="N41" s="343"/>
      <c r="O41" s="1633"/>
      <c r="P41" s="1633"/>
      <c r="AH41" s="1640">
        <v>0</v>
      </c>
    </row>
    <row s="1644" customFormat="1" customHeight="1" ht="18.75" hidden="1">
      <c r="A42" s="1789" t="s">
        <v>266</v>
      </c>
      <c r="B42" s="1789" t="s">
        <v>267</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379</v>
      </c>
      <c r="M42" s="2179"/>
      <c r="N42" s="343"/>
      <c r="O42" s="1633"/>
      <c r="P42" s="1633"/>
      <c r="AH42" s="1640">
        <v>0</v>
      </c>
    </row>
    <row s="1644" customFormat="1" customHeight="1" ht="18.75" hidden="1">
      <c r="A43" s="1789"/>
      <c r="B43" s="1789"/>
      <c r="C43" s="378" t="s">
        <v>1247</v>
      </c>
      <c r="D43" s="2471"/>
      <c r="E43" s="2213"/>
      <c r="F43" s="2392"/>
      <c r="G43" s="2436"/>
      <c r="H43" s="1509"/>
      <c r="I43" s="660" t="s">
        <v>1248</v>
      </c>
      <c r="J43" s="580"/>
      <c r="K43" s="1509"/>
      <c r="L43" s="223"/>
      <c r="M43" s="2179"/>
      <c r="N43" s="343"/>
      <c r="O43" s="1633"/>
      <c r="P43" s="1633"/>
      <c r="AH43" s="1640">
        <v>0</v>
      </c>
    </row>
    <row s="1644" customFormat="1" customHeight="1" ht="0.75" hidden="1">
      <c r="A44" s="1789"/>
      <c r="B44" s="1789"/>
      <c r="C44" s="378" t="s">
        <v>1253</v>
      </c>
      <c r="D44" s="2471"/>
      <c r="E44" s="2213"/>
      <c r="F44" s="2392"/>
      <c r="G44" s="409"/>
      <c r="H44" s="1509"/>
      <c r="I44" s="660"/>
      <c r="J44" s="580"/>
      <c r="K44" s="1509"/>
      <c r="L44" s="223"/>
      <c r="M44" s="2179"/>
      <c r="N44" s="343"/>
      <c r="O44" s="1633"/>
      <c r="P44" s="1633"/>
      <c r="AH44" s="1640">
        <v>0</v>
      </c>
    </row>
    <row s="1644" customFormat="1" customHeight="1" ht="18.75" hidden="1">
      <c r="A45" s="1789" t="s">
        <v>272</v>
      </c>
      <c r="B45" s="1789" t="s">
        <v>273</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379</v>
      </c>
      <c r="M45" s="2179"/>
      <c r="N45" s="343"/>
      <c r="O45" s="1633"/>
      <c r="P45" s="1633"/>
      <c r="AH45" s="1640">
        <v>0</v>
      </c>
    </row>
    <row s="1644" customFormat="1" customHeight="1" ht="18.75" hidden="1">
      <c r="A46" s="1789"/>
      <c r="B46" s="1789"/>
      <c r="C46" s="378" t="s">
        <v>1247</v>
      </c>
      <c r="D46" s="2471"/>
      <c r="E46" s="2213"/>
      <c r="F46" s="2392"/>
      <c r="G46" s="2436"/>
      <c r="H46" s="1509"/>
      <c r="I46" s="660" t="s">
        <v>1248</v>
      </c>
      <c r="J46" s="580"/>
      <c r="K46" s="1509"/>
      <c r="L46" s="223"/>
      <c r="M46" s="2179"/>
      <c r="N46" s="343"/>
      <c r="O46" s="1633"/>
      <c r="P46" s="1633"/>
      <c r="AH46" s="1640">
        <v>0</v>
      </c>
    </row>
    <row s="1644" customFormat="1" customHeight="1" ht="0.75" hidden="1">
      <c r="A47" s="1789"/>
      <c r="B47" s="1789"/>
      <c r="C47" s="378" t="s">
        <v>1253</v>
      </c>
      <c r="D47" s="2471"/>
      <c r="E47" s="2213"/>
      <c r="F47" s="2392"/>
      <c r="G47" s="409"/>
      <c r="H47" s="1509"/>
      <c r="I47" s="660"/>
      <c r="J47" s="580"/>
      <c r="K47" s="1509"/>
      <c r="L47" s="223"/>
      <c r="M47" s="2179"/>
      <c r="N47" s="343"/>
      <c r="O47" s="1633"/>
      <c r="P47" s="1633"/>
      <c r="AH47" s="1640">
        <v>0</v>
      </c>
    </row>
    <row s="1644" customFormat="1" customHeight="1" ht="18.75" hidden="1">
      <c r="A48" s="1789" t="s">
        <v>278</v>
      </c>
      <c r="B48" s="1789" t="s">
        <v>279</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379</v>
      </c>
      <c r="M48" s="2179"/>
      <c r="N48" s="343"/>
      <c r="O48" s="1633"/>
      <c r="P48" s="1633"/>
      <c r="AH48" s="1640">
        <v>0</v>
      </c>
    </row>
    <row s="1644" customFormat="1" customHeight="1" ht="18.75" hidden="1">
      <c r="A49" s="1789"/>
      <c r="B49" s="1789"/>
      <c r="C49" s="378" t="s">
        <v>1247</v>
      </c>
      <c r="D49" s="2471"/>
      <c r="E49" s="2213"/>
      <c r="F49" s="2392"/>
      <c r="G49" s="2436"/>
      <c r="H49" s="1509"/>
      <c r="I49" s="660" t="s">
        <v>1248</v>
      </c>
      <c r="J49" s="580"/>
      <c r="K49" s="1509"/>
      <c r="L49" s="223"/>
      <c r="M49" s="2179"/>
      <c r="N49" s="343"/>
      <c r="O49" s="1633"/>
      <c r="P49" s="1633"/>
      <c r="AH49" s="1640">
        <v>0</v>
      </c>
    </row>
    <row s="1644" customFormat="1" customHeight="1" ht="0.75" hidden="1">
      <c r="A50" s="1789"/>
      <c r="B50" s="1789"/>
      <c r="C50" s="378" t="s">
        <v>1253</v>
      </c>
      <c r="D50" s="2471"/>
      <c r="E50" s="2213"/>
      <c r="F50" s="2392"/>
      <c r="G50" s="409"/>
      <c r="H50" s="1509"/>
      <c r="I50" s="660"/>
      <c r="J50" s="580"/>
      <c r="K50" s="1509"/>
      <c r="L50" s="223"/>
      <c r="M50" s="2179"/>
      <c r="N50" s="343"/>
      <c r="O50" s="1633"/>
      <c r="P50" s="1633"/>
      <c r="AH50" s="1640">
        <v>0</v>
      </c>
    </row>
    <row s="1644" customFormat="1" customHeight="1" ht="18.75" hidden="1">
      <c r="A51" s="1789" t="s">
        <v>298</v>
      </c>
      <c r="B51" s="1789" t="s">
        <v>299</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379</v>
      </c>
      <c r="M51" s="2179"/>
      <c r="N51" s="343"/>
      <c r="O51" s="1633"/>
      <c r="P51" s="1633"/>
      <c r="AH51" s="1640">
        <v>0</v>
      </c>
    </row>
    <row s="1644" customFormat="1" customHeight="1" ht="18.75" hidden="1">
      <c r="A52" s="1789"/>
      <c r="B52" s="1789"/>
      <c r="C52" s="378" t="s">
        <v>1247</v>
      </c>
      <c r="D52" s="2471"/>
      <c r="E52" s="2213"/>
      <c r="F52" s="2392"/>
      <c r="G52" s="2436"/>
      <c r="H52" s="1509"/>
      <c r="I52" s="660" t="s">
        <v>1248</v>
      </c>
      <c r="J52" s="580"/>
      <c r="K52" s="1509"/>
      <c r="L52" s="223"/>
      <c r="M52" s="2179"/>
      <c r="N52" s="343"/>
      <c r="O52" s="1633"/>
      <c r="P52" s="1633"/>
      <c r="AH52" s="1640">
        <v>0</v>
      </c>
    </row>
    <row s="1644" customFormat="1" customHeight="1" ht="0.75" hidden="1">
      <c r="A53" s="1789"/>
      <c r="B53" s="1789"/>
      <c r="C53" s="378" t="s">
        <v>1253</v>
      </c>
      <c r="D53" s="2471"/>
      <c r="E53" s="2213"/>
      <c r="F53" s="2392"/>
      <c r="G53" s="409"/>
      <c r="H53" s="1509"/>
      <c r="I53" s="660"/>
      <c r="J53" s="580"/>
      <c r="K53" s="1509"/>
      <c r="L53" s="223"/>
      <c r="M53" s="2179"/>
      <c r="N53" s="343"/>
      <c r="O53" s="1633"/>
      <c r="P53" s="1633"/>
      <c r="AH53" s="1640">
        <v>0</v>
      </c>
    </row>
    <row s="1644" customFormat="1" customHeight="1" ht="18.75" hidden="1">
      <c r="A54" s="1789" t="s">
        <v>303</v>
      </c>
      <c r="B54" s="1789" t="s">
        <v>304</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379</v>
      </c>
      <c r="M54" s="2179"/>
      <c r="N54" s="343"/>
      <c r="O54" s="1633"/>
      <c r="P54" s="1633"/>
      <c r="AH54" s="1640">
        <v>0</v>
      </c>
    </row>
    <row s="1644" customFormat="1" customHeight="1" ht="18.75" hidden="1">
      <c r="A55" s="1789"/>
      <c r="B55" s="1789"/>
      <c r="C55" s="378" t="s">
        <v>1247</v>
      </c>
      <c r="D55" s="2471"/>
      <c r="E55" s="2213"/>
      <c r="F55" s="2392"/>
      <c r="G55" s="2436"/>
      <c r="H55" s="1509"/>
      <c r="I55" s="660" t="s">
        <v>1248</v>
      </c>
      <c r="J55" s="580"/>
      <c r="K55" s="1509"/>
      <c r="L55" s="223"/>
      <c r="M55" s="2179"/>
      <c r="N55" s="343"/>
      <c r="O55" s="1633"/>
      <c r="P55" s="1633"/>
      <c r="AH55" s="1640">
        <v>0</v>
      </c>
    </row>
    <row s="1644" customFormat="1" customHeight="1" ht="0.75" hidden="1">
      <c r="A56" s="1789"/>
      <c r="B56" s="1789"/>
      <c r="C56" s="378" t="s">
        <v>1253</v>
      </c>
      <c r="D56" s="2471"/>
      <c r="E56" s="2213"/>
      <c r="F56" s="2392"/>
      <c r="G56" s="409"/>
      <c r="H56" s="1509"/>
      <c r="I56" s="660"/>
      <c r="J56" s="580"/>
      <c r="K56" s="1509"/>
      <c r="L56" s="223"/>
      <c r="M56" s="2179"/>
      <c r="N56" s="343"/>
      <c r="O56" s="1633"/>
      <c r="P56" s="1633"/>
      <c r="AH56" s="1640">
        <v>0</v>
      </c>
    </row>
    <row s="1644" customFormat="1" customHeight="1" ht="18.75" hidden="1">
      <c r="A57" s="1789" t="s">
        <v>308</v>
      </c>
      <c r="B57" s="1789" t="s">
        <v>309</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379</v>
      </c>
      <c r="M57" s="2179"/>
      <c r="N57" s="343"/>
      <c r="O57" s="1633"/>
      <c r="P57" s="1633"/>
      <c r="AH57" s="1640">
        <v>0</v>
      </c>
    </row>
    <row s="1644" customFormat="1" customHeight="1" ht="18.75" hidden="1">
      <c r="A58" s="1789"/>
      <c r="B58" s="1789"/>
      <c r="C58" s="378" t="s">
        <v>1247</v>
      </c>
      <c r="D58" s="2471"/>
      <c r="E58" s="2213"/>
      <c r="F58" s="2392"/>
      <c r="G58" s="2436"/>
      <c r="H58" s="1509"/>
      <c r="I58" s="660" t="s">
        <v>1248</v>
      </c>
      <c r="J58" s="580"/>
      <c r="K58" s="1509"/>
      <c r="L58" s="223"/>
      <c r="M58" s="2179"/>
      <c r="N58" s="343"/>
      <c r="O58" s="1633"/>
      <c r="P58" s="1633"/>
      <c r="AH58" s="1640">
        <v>0</v>
      </c>
    </row>
    <row s="1644" customFormat="1" customHeight="1" ht="0.75" hidden="1">
      <c r="A59" s="1789"/>
      <c r="B59" s="1789"/>
      <c r="C59" s="378" t="s">
        <v>1253</v>
      </c>
      <c r="D59" s="2471"/>
      <c r="E59" s="2213"/>
      <c r="F59" s="2392"/>
      <c r="G59" s="409"/>
      <c r="H59" s="1509"/>
      <c r="I59" s="660"/>
      <c r="J59" s="580"/>
      <c r="K59" s="1509"/>
      <c r="L59" s="223"/>
      <c r="M59" s="2179"/>
      <c r="N59" s="343"/>
      <c r="O59" s="1633"/>
      <c r="P59" s="1633"/>
      <c r="AH59" s="1640">
        <v>0</v>
      </c>
    </row>
    <row s="1644" customFormat="1" customHeight="1" ht="18.75" hidden="1">
      <c r="A60" s="1789" t="s">
        <v>313</v>
      </c>
      <c r="B60" s="1789" t="s">
        <v>314</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379</v>
      </c>
      <c r="M60" s="2179"/>
      <c r="N60" s="343"/>
      <c r="O60" s="1633"/>
      <c r="P60" s="1633"/>
      <c r="AH60" s="1640">
        <v>0</v>
      </c>
    </row>
    <row s="1644" customFormat="1" customHeight="1" ht="18.75" hidden="1">
      <c r="A61" s="1789"/>
      <c r="B61" s="1789"/>
      <c r="C61" s="378" t="s">
        <v>1247</v>
      </c>
      <c r="D61" s="2471"/>
      <c r="E61" s="2213"/>
      <c r="F61" s="2392"/>
      <c r="G61" s="2436"/>
      <c r="H61" s="1509"/>
      <c r="I61" s="660" t="s">
        <v>1248</v>
      </c>
      <c r="J61" s="580"/>
      <c r="K61" s="1509"/>
      <c r="L61" s="223"/>
      <c r="M61" s="2179"/>
      <c r="N61" s="343"/>
      <c r="O61" s="1633"/>
      <c r="P61" s="1633"/>
      <c r="AH61" s="1640">
        <v>0</v>
      </c>
    </row>
    <row s="1644" customFormat="1" customHeight="1" ht="0.75" hidden="1">
      <c r="A62" s="1789"/>
      <c r="B62" s="1789"/>
      <c r="C62" s="378" t="s">
        <v>1253</v>
      </c>
      <c r="D62" s="2471"/>
      <c r="E62" s="2213"/>
      <c r="F62" s="2392"/>
      <c r="G62" s="409"/>
      <c r="H62" s="1509"/>
      <c r="I62" s="660"/>
      <c r="J62" s="580"/>
      <c r="K62" s="1509"/>
      <c r="L62" s="223"/>
      <c r="M62" s="2179"/>
      <c r="N62" s="343"/>
      <c r="O62" s="1633"/>
      <c r="P62" s="1633"/>
      <c r="AH62" s="1640">
        <v>0</v>
      </c>
    </row>
    <row s="1644" customFormat="1" customHeight="1" ht="18.75" hidden="1">
      <c r="A63" s="1789" t="s">
        <v>318</v>
      </c>
      <c r="B63" s="1789" t="s">
        <v>319</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379</v>
      </c>
      <c r="M63" s="2179"/>
      <c r="N63" s="343"/>
      <c r="O63" s="1633"/>
      <c r="P63" s="1633"/>
      <c r="AH63" s="1640">
        <v>0</v>
      </c>
    </row>
    <row s="1644" customFormat="1" customHeight="1" ht="18.75" hidden="1">
      <c r="A64" s="1789"/>
      <c r="B64" s="1789"/>
      <c r="C64" s="378" t="s">
        <v>1247</v>
      </c>
      <c r="D64" s="2471"/>
      <c r="E64" s="2213"/>
      <c r="F64" s="2392"/>
      <c r="G64" s="2436"/>
      <c r="H64" s="1509"/>
      <c r="I64" s="660" t="s">
        <v>1248</v>
      </c>
      <c r="J64" s="580"/>
      <c r="K64" s="1509"/>
      <c r="L64" s="223"/>
      <c r="M64" s="2179"/>
      <c r="N64" s="343"/>
      <c r="O64" s="1633"/>
      <c r="P64" s="1633"/>
      <c r="AH64" s="1640">
        <v>0</v>
      </c>
    </row>
    <row s="1644" customFormat="1" customHeight="1" ht="0.75" hidden="1">
      <c r="A65" s="1789"/>
      <c r="B65" s="1789"/>
      <c r="C65" s="378" t="s">
        <v>1253</v>
      </c>
      <c r="D65" s="2471"/>
      <c r="E65" s="2213"/>
      <c r="F65" s="2392"/>
      <c r="G65" s="409"/>
      <c r="H65" s="1509"/>
      <c r="I65" s="660"/>
      <c r="J65" s="580"/>
      <c r="K65" s="1509"/>
      <c r="L65" s="223"/>
      <c r="M65" s="2179"/>
      <c r="N65" s="343"/>
      <c r="O65" s="1633"/>
      <c r="P65" s="1633"/>
      <c r="AH65" s="1640">
        <v>0</v>
      </c>
    </row>
    <row s="1644" customFormat="1" customHeight="1" ht="18.75" hidden="1">
      <c r="A66" s="1789" t="s">
        <v>323</v>
      </c>
      <c r="B66" s="1789" t="s">
        <v>324</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379</v>
      </c>
      <c r="M66" s="2179"/>
      <c r="N66" s="343"/>
      <c r="O66" s="1633"/>
      <c r="P66" s="1633"/>
      <c r="AH66" s="1640">
        <v>0</v>
      </c>
    </row>
    <row s="1644" customFormat="1" customHeight="1" ht="18.75" hidden="1">
      <c r="A67" s="1789"/>
      <c r="B67" s="1789"/>
      <c r="C67" s="378" t="s">
        <v>1247</v>
      </c>
      <c r="D67" s="2471"/>
      <c r="E67" s="2213"/>
      <c r="F67" s="2392"/>
      <c r="G67" s="2436"/>
      <c r="H67" s="1509"/>
      <c r="I67" s="660" t="s">
        <v>1248</v>
      </c>
      <c r="J67" s="580"/>
      <c r="K67" s="1509"/>
      <c r="L67" s="223"/>
      <c r="M67" s="2179"/>
      <c r="N67" s="343"/>
      <c r="O67" s="1633"/>
      <c r="P67" s="1633"/>
      <c r="AH67" s="1640">
        <v>0</v>
      </c>
    </row>
    <row s="1644" customFormat="1" customHeight="1" ht="0.75" hidden="1">
      <c r="A68" s="1789"/>
      <c r="B68" s="1789"/>
      <c r="C68" s="378" t="s">
        <v>1253</v>
      </c>
      <c r="D68" s="2471"/>
      <c r="E68" s="2213"/>
      <c r="F68" s="2392"/>
      <c r="G68" s="409"/>
      <c r="H68" s="1509"/>
      <c r="I68" s="660"/>
      <c r="J68" s="580"/>
      <c r="K68" s="1509"/>
      <c r="L68" s="223"/>
      <c r="M68" s="2179"/>
      <c r="N68" s="343"/>
      <c r="O68" s="1633"/>
      <c r="P68" s="1633"/>
      <c r="AH68" s="1640">
        <v>0</v>
      </c>
    </row>
    <row s="1644" customFormat="1" customHeight="1" ht="18.75" hidden="1">
      <c r="A69" s="1789" t="s">
        <v>328</v>
      </c>
      <c r="B69" s="1789" t="s">
        <v>329</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379</v>
      </c>
      <c r="M69" s="2179"/>
      <c r="N69" s="343"/>
      <c r="O69" s="1633"/>
      <c r="P69" s="1633"/>
      <c r="AH69" s="1640">
        <v>0</v>
      </c>
    </row>
    <row s="1644" customFormat="1" customHeight="1" ht="18.75" hidden="1">
      <c r="A70" s="1789"/>
      <c r="B70" s="1789"/>
      <c r="C70" s="378" t="s">
        <v>1247</v>
      </c>
      <c r="D70" s="2471"/>
      <c r="E70" s="2213"/>
      <c r="F70" s="2392"/>
      <c r="G70" s="2436"/>
      <c r="H70" s="1509"/>
      <c r="I70" s="660" t="s">
        <v>1248</v>
      </c>
      <c r="J70" s="580"/>
      <c r="K70" s="1509"/>
      <c r="L70" s="223"/>
      <c r="M70" s="2179"/>
      <c r="N70" s="343"/>
      <c r="O70" s="1633"/>
      <c r="P70" s="1633"/>
      <c r="AH70" s="1640">
        <v>0</v>
      </c>
    </row>
    <row s="1644" customFormat="1" customHeight="1" ht="0.75" hidden="1">
      <c r="A71" s="1789"/>
      <c r="B71" s="1789"/>
      <c r="C71" s="378" t="s">
        <v>1253</v>
      </c>
      <c r="D71" s="2471"/>
      <c r="E71" s="2213"/>
      <c r="F71" s="2392"/>
      <c r="G71" s="409"/>
      <c r="H71" s="1509"/>
      <c r="I71" s="660"/>
      <c r="J71" s="580"/>
      <c r="K71" s="1509"/>
      <c r="L71" s="223"/>
      <c r="M71" s="2179"/>
      <c r="N71" s="343"/>
      <c r="O71" s="1633"/>
      <c r="P71" s="1633"/>
      <c r="AH71" s="1640">
        <v>0</v>
      </c>
    </row>
    <row s="1644" customFormat="1" customHeight="1" ht="18.75" hidden="1">
      <c r="A72" s="1789" t="s">
        <v>333</v>
      </c>
      <c r="B72" s="1789" t="s">
        <v>334</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379</v>
      </c>
      <c r="M72" s="2179"/>
      <c r="N72" s="343"/>
      <c r="O72" s="1633"/>
      <c r="P72" s="1633"/>
      <c r="AH72" s="1640">
        <v>0</v>
      </c>
    </row>
    <row s="1644" customFormat="1" customHeight="1" ht="18.75" hidden="1">
      <c r="A73" s="1789"/>
      <c r="B73" s="1789"/>
      <c r="C73" s="378" t="s">
        <v>1247</v>
      </c>
      <c r="D73" s="2471"/>
      <c r="E73" s="2213"/>
      <c r="F73" s="2392"/>
      <c r="G73" s="2436"/>
      <c r="H73" s="1509"/>
      <c r="I73" s="660" t="s">
        <v>1248</v>
      </c>
      <c r="J73" s="580"/>
      <c r="K73" s="1509"/>
      <c r="L73" s="223"/>
      <c r="M73" s="2179"/>
      <c r="N73" s="343"/>
      <c r="O73" s="1633"/>
      <c r="P73" s="1633"/>
      <c r="AH73" s="1640">
        <v>0</v>
      </c>
    </row>
    <row s="1644" customFormat="1" customHeight="1" ht="0.75" hidden="1">
      <c r="A74" s="1789"/>
      <c r="B74" s="1789"/>
      <c r="C74" s="378" t="s">
        <v>1253</v>
      </c>
      <c r="D74" s="2471"/>
      <c r="E74" s="2213"/>
      <c r="F74" s="2392"/>
      <c r="G74" s="409"/>
      <c r="H74" s="1509"/>
      <c r="I74" s="660"/>
      <c r="J74" s="580"/>
      <c r="K74" s="1509"/>
      <c r="L74" s="223"/>
      <c r="M74" s="2179"/>
      <c r="N74" s="343"/>
      <c r="O74" s="1633"/>
      <c r="P74" s="1633"/>
      <c r="AH74" s="1640">
        <v>0</v>
      </c>
    </row>
    <row s="1644" customFormat="1" customHeight="1" ht="18.75" hidden="1">
      <c r="A75" s="1789" t="s">
        <v>338</v>
      </c>
      <c r="B75" s="1789" t="s">
        <v>339</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379</v>
      </c>
      <c r="M75" s="2179"/>
      <c r="N75" s="343"/>
      <c r="O75" s="1633"/>
      <c r="P75" s="1633"/>
      <c r="AH75" s="1640">
        <v>0</v>
      </c>
    </row>
    <row s="1644" customFormat="1" customHeight="1" ht="18.75" hidden="1">
      <c r="A76" s="1789"/>
      <c r="B76" s="1789"/>
      <c r="C76" s="378" t="s">
        <v>1247</v>
      </c>
      <c r="D76" s="2471"/>
      <c r="E76" s="2213"/>
      <c r="F76" s="2392"/>
      <c r="G76" s="2436"/>
      <c r="H76" s="1509"/>
      <c r="I76" s="660" t="s">
        <v>1248</v>
      </c>
      <c r="J76" s="580"/>
      <c r="K76" s="1509"/>
      <c r="L76" s="223"/>
      <c r="M76" s="2179"/>
      <c r="N76" s="343"/>
      <c r="O76" s="1633"/>
      <c r="P76" s="1633"/>
      <c r="AH76" s="1640">
        <v>0</v>
      </c>
    </row>
    <row s="1644" customFormat="1" customHeight="1" ht="0.75" hidden="1">
      <c r="A77" s="1789"/>
      <c r="B77" s="1789"/>
      <c r="C77" s="378" t="s">
        <v>1253</v>
      </c>
      <c r="D77" s="2471"/>
      <c r="E77" s="2213"/>
      <c r="F77" s="2392"/>
      <c r="G77" s="409"/>
      <c r="H77" s="1509"/>
      <c r="I77" s="660"/>
      <c r="J77" s="580"/>
      <c r="K77" s="1509"/>
      <c r="L77" s="223"/>
      <c r="M77" s="2179"/>
      <c r="N77" s="343"/>
      <c r="O77" s="1633"/>
      <c r="P77" s="1633"/>
      <c r="AH77" s="1640">
        <v>0</v>
      </c>
    </row>
    <row s="1644" customFormat="1" customHeight="1" ht="18.75" hidden="1">
      <c r="A78" s="1789" t="s">
        <v>343</v>
      </c>
      <c r="B78" s="1789" t="s">
        <v>344</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379</v>
      </c>
      <c r="M78" s="2179"/>
      <c r="N78" s="343"/>
      <c r="O78" s="1633"/>
      <c r="P78" s="1633"/>
      <c r="AH78" s="1640">
        <v>0</v>
      </c>
    </row>
    <row s="1644" customFormat="1" customHeight="1" ht="18.75" hidden="1">
      <c r="A79" s="1789"/>
      <c r="B79" s="1789"/>
      <c r="C79" s="378" t="s">
        <v>1247</v>
      </c>
      <c r="D79" s="2471"/>
      <c r="E79" s="2213"/>
      <c r="F79" s="2392"/>
      <c r="G79" s="2436"/>
      <c r="H79" s="1509"/>
      <c r="I79" s="660" t="s">
        <v>1248</v>
      </c>
      <c r="J79" s="580"/>
      <c r="K79" s="1509"/>
      <c r="L79" s="223"/>
      <c r="M79" s="2179"/>
      <c r="N79" s="343"/>
      <c r="O79" s="1633"/>
      <c r="P79" s="1633"/>
      <c r="AH79" s="1640">
        <v>0</v>
      </c>
    </row>
    <row s="1644" customFormat="1" customHeight="1" ht="0.75" hidden="1">
      <c r="A80" s="1789"/>
      <c r="B80" s="1789"/>
      <c r="C80" s="378" t="s">
        <v>1253</v>
      </c>
      <c r="D80" s="2471"/>
      <c r="E80" s="2213"/>
      <c r="F80" s="2392"/>
      <c r="G80" s="409"/>
      <c r="H80" s="1509"/>
      <c r="I80" s="660"/>
      <c r="J80" s="580"/>
      <c r="K80" s="1509"/>
      <c r="L80" s="223"/>
      <c r="M80" s="2179"/>
      <c r="N80" s="343"/>
      <c r="O80" s="1633"/>
      <c r="P80" s="1633"/>
      <c r="AH80" s="1640">
        <v>0</v>
      </c>
    </row>
    <row s="1644" customFormat="1" customHeight="1" ht="18.75" hidden="1">
      <c r="A81" s="1789" t="s">
        <v>348</v>
      </c>
      <c r="B81" s="1789" t="s">
        <v>349</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379</v>
      </c>
      <c r="M81" s="2179"/>
      <c r="N81" s="343"/>
      <c r="O81" s="1633"/>
      <c r="P81" s="1633"/>
      <c r="AH81" s="1640">
        <v>0</v>
      </c>
    </row>
    <row s="1644" customFormat="1" customHeight="1" ht="18.75" hidden="1">
      <c r="A82" s="1789"/>
      <c r="B82" s="1789"/>
      <c r="C82" s="378" t="s">
        <v>1247</v>
      </c>
      <c r="D82" s="2471"/>
      <c r="E82" s="2213"/>
      <c r="F82" s="2392"/>
      <c r="G82" s="2436"/>
      <c r="H82" s="1509"/>
      <c r="I82" s="660" t="s">
        <v>1248</v>
      </c>
      <c r="J82" s="580"/>
      <c r="K82" s="1509"/>
      <c r="L82" s="223"/>
      <c r="M82" s="2179"/>
      <c r="N82" s="343"/>
      <c r="O82" s="1633"/>
      <c r="P82" s="1633"/>
      <c r="AH82" s="1640">
        <v>0</v>
      </c>
    </row>
    <row s="1644" customFormat="1" customHeight="1" ht="1.05">
      <c r="A83" s="1789"/>
      <c r="B83" s="1789"/>
      <c r="C83" s="378" t="s">
        <v>1253</v>
      </c>
      <c r="D83" s="2471"/>
      <c r="E83" s="2213"/>
      <c r="F83" s="2392"/>
      <c r="G83" s="409"/>
      <c r="H83" s="1509"/>
      <c r="I83" s="660"/>
      <c r="J83" s="580"/>
      <c r="K83" s="1509"/>
      <c r="L83" s="223"/>
      <c r="M83" s="2179"/>
      <c r="N83" s="343"/>
      <c r="O83" s="1633"/>
      <c r="P83" s="1633"/>
      <c r="AH83" s="1640">
        <v>1</v>
      </c>
    </row>
    <row customHeight="1" ht="19.95">
      <c r="A84" s="1789"/>
      <c r="B84" s="1789"/>
      <c r="D84" s="385"/>
      <c r="E84" s="156" t="s">
        <v>110</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9"/>
      <c r="H84" s="2469"/>
      <c r="I84" s="2469"/>
      <c r="J84" s="2469"/>
      <c r="K84" s="2469"/>
      <c r="L84" s="2469"/>
      <c r="M84" s="306"/>
      <c r="N84" s="343"/>
      <c r="AH84" s="383">
        <v>19</v>
      </c>
    </row>
    <row customHeight="1" ht="35.699999999999996">
      <c r="A85" s="1789"/>
      <c r="B85" s="1789"/>
      <c r="D85" s="385"/>
      <c r="E85" s="408"/>
      <c r="F85" s="207" t="s">
        <v>379</v>
      </c>
      <c r="G85" s="207" t="s">
        <v>379</v>
      </c>
      <c r="H85" s="2227" t="s">
        <v>379</v>
      </c>
      <c r="I85" s="2229"/>
      <c r="J85" s="207" t="s">
        <v>379</v>
      </c>
      <c r="K85" s="207" t="s">
        <v>379</v>
      </c>
      <c r="L85" s="410"/>
      <c r="M85" s="354" t="s">
        <v>1254</v>
      </c>
      <c r="N85" s="343"/>
      <c r="AH85" s="383">
        <v>34</v>
      </c>
    </row>
    <row customHeight="1" ht="19.95">
      <c r="A86" s="1789"/>
      <c r="B86" s="1789"/>
      <c r="D86" s="385"/>
      <c r="E86" s="156" t="s">
        <v>90</v>
      </c>
      <c r="F86" s="2469" t="s">
        <v>1255</v>
      </c>
      <c r="G86" s="2469"/>
      <c r="H86" s="2469"/>
      <c r="I86" s="2469"/>
      <c r="J86" s="2469"/>
      <c r="K86" s="2469"/>
      <c r="L86" s="2469"/>
      <c r="M86" s="306"/>
      <c r="N86" s="343"/>
      <c r="AH86" s="383">
        <v>19</v>
      </c>
    </row>
    <row s="1644" customFormat="1" customHeight="1" ht="60.75" hidden="1">
      <c r="A87" s="1789" t="s">
        <v>230</v>
      </c>
      <c r="B87" s="1789" t="s">
        <v>231</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379</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1249</v>
      </c>
      <c r="D88" s="2471"/>
      <c r="E88" s="2213"/>
      <c r="F88" s="2392"/>
      <c r="G88" s="2436"/>
      <c r="H88" s="1509"/>
      <c r="I88" s="660" t="s">
        <v>1248</v>
      </c>
      <c r="J88" s="580"/>
      <c r="K88" s="1509"/>
      <c r="L88" s="223"/>
      <c r="M88" s="2179"/>
      <c r="N88" s="343"/>
      <c r="O88" s="1633"/>
      <c r="P88" s="1633"/>
      <c r="AH88" s="1640">
        <v>0</v>
      </c>
    </row>
    <row s="1644" customFormat="1" customHeight="1" ht="0.75" hidden="1">
      <c r="A89" s="1789"/>
      <c r="B89" s="1789"/>
      <c r="C89" s="378" t="s">
        <v>1256</v>
      </c>
      <c r="D89" s="2471"/>
      <c r="E89" s="2213"/>
      <c r="F89" s="2392"/>
      <c r="G89" s="409"/>
      <c r="H89" s="1509"/>
      <c r="I89" s="660"/>
      <c r="J89" s="580"/>
      <c r="K89" s="1509"/>
      <c r="L89" s="223"/>
      <c r="M89" s="2179"/>
      <c r="N89" s="343"/>
      <c r="O89" s="1633"/>
      <c r="P89" s="1633"/>
      <c r="AH89" s="1640">
        <v>0</v>
      </c>
    </row>
    <row s="1644" customFormat="1" customHeight="1" ht="45" hidden="1">
      <c r="A90" s="1789" t="s">
        <v>235</v>
      </c>
      <c r="B90" s="1789" t="s">
        <v>236</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379</v>
      </c>
      <c r="M90" s="2180"/>
      <c r="N90" s="343"/>
      <c r="O90" s="1633"/>
      <c r="P90" s="1633"/>
      <c r="AH90" s="1640">
        <v>0</v>
      </c>
    </row>
    <row s="1644" customFormat="1" customHeight="1" ht="18.75" hidden="1">
      <c r="A91" s="1789"/>
      <c r="B91" s="1789"/>
      <c r="C91" s="378" t="s">
        <v>1249</v>
      </c>
      <c r="D91" s="2471"/>
      <c r="E91" s="2213"/>
      <c r="F91" s="2392"/>
      <c r="G91" s="2436"/>
      <c r="H91" s="1509"/>
      <c r="I91" s="660" t="s">
        <v>1248</v>
      </c>
      <c r="J91" s="580"/>
      <c r="K91" s="1509"/>
      <c r="L91" s="223"/>
      <c r="M91" s="1870"/>
      <c r="N91" s="343"/>
      <c r="O91" s="1633"/>
      <c r="P91" s="1633"/>
      <c r="AH91" s="1640">
        <v>0</v>
      </c>
    </row>
    <row s="1644" customFormat="1" customHeight="1" ht="0.75" hidden="1">
      <c r="A92" s="1789"/>
      <c r="B92" s="1789"/>
      <c r="C92" s="378" t="s">
        <v>1256</v>
      </c>
      <c r="D92" s="2471"/>
      <c r="E92" s="2213"/>
      <c r="F92" s="2392"/>
      <c r="G92" s="409"/>
      <c r="H92" s="1509"/>
      <c r="I92" s="660"/>
      <c r="J92" s="580"/>
      <c r="K92" s="1509"/>
      <c r="L92" s="223"/>
      <c r="M92" s="350"/>
      <c r="N92" s="343"/>
      <c r="O92" s="1633"/>
      <c r="P92" s="1633"/>
      <c r="AH92" s="1640">
        <v>0</v>
      </c>
    </row>
    <row s="1644" customFormat="1" customHeight="1" ht="45" hidden="1">
      <c r="A93" s="1789" t="s">
        <v>242</v>
      </c>
      <c r="B93" s="1789" t="s">
        <v>243</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379</v>
      </c>
      <c r="M93" s="350"/>
      <c r="N93" s="343"/>
      <c r="O93" s="1633"/>
      <c r="P93" s="1633"/>
      <c r="AH93" s="1640">
        <v>0</v>
      </c>
    </row>
    <row s="1644" customFormat="1" customHeight="1" ht="18.75" hidden="1">
      <c r="A94" s="1789"/>
      <c r="B94" s="1789"/>
      <c r="C94" s="378" t="s">
        <v>1249</v>
      </c>
      <c r="D94" s="2471"/>
      <c r="E94" s="2213"/>
      <c r="F94" s="2392"/>
      <c r="G94" s="2436"/>
      <c r="H94" s="1509"/>
      <c r="I94" s="660" t="s">
        <v>1248</v>
      </c>
      <c r="J94" s="580"/>
      <c r="K94" s="1509"/>
      <c r="L94" s="223"/>
      <c r="M94" s="350"/>
      <c r="N94" s="343"/>
      <c r="O94" s="1633"/>
      <c r="P94" s="1633"/>
      <c r="AH94" s="1640">
        <v>0</v>
      </c>
    </row>
    <row s="1644" customFormat="1" customHeight="1" ht="0.75" hidden="1">
      <c r="A95" s="1789"/>
      <c r="B95" s="1789"/>
      <c r="C95" s="378" t="s">
        <v>1256</v>
      </c>
      <c r="D95" s="2471"/>
      <c r="E95" s="2213"/>
      <c r="F95" s="2392"/>
      <c r="G95" s="409"/>
      <c r="H95" s="1509"/>
      <c r="I95" s="660"/>
      <c r="J95" s="580"/>
      <c r="K95" s="1509"/>
      <c r="L95" s="223"/>
      <c r="M95" s="350"/>
      <c r="N95" s="343"/>
      <c r="O95" s="1633"/>
      <c r="P95" s="1633"/>
      <c r="AH95" s="1640">
        <v>0</v>
      </c>
    </row>
    <row s="1644" customFormat="1" customHeight="1" ht="45" hidden="1">
      <c r="A96" s="1789" t="s">
        <v>248</v>
      </c>
      <c r="B96" s="1789" t="s">
        <v>249</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379</v>
      </c>
      <c r="M96" s="350"/>
      <c r="N96" s="343"/>
      <c r="O96" s="1633"/>
      <c r="P96" s="1633"/>
      <c r="AH96" s="1640">
        <v>0</v>
      </c>
    </row>
    <row s="1644" customFormat="1" customHeight="1" ht="18.75" hidden="1">
      <c r="A97" s="1789"/>
      <c r="B97" s="1789"/>
      <c r="C97" s="378" t="s">
        <v>1249</v>
      </c>
      <c r="D97" s="2471"/>
      <c r="E97" s="2213"/>
      <c r="F97" s="2392"/>
      <c r="G97" s="2436"/>
      <c r="H97" s="1509"/>
      <c r="I97" s="660" t="s">
        <v>1248</v>
      </c>
      <c r="J97" s="580"/>
      <c r="K97" s="1509"/>
      <c r="L97" s="223"/>
      <c r="M97" s="350"/>
      <c r="N97" s="343"/>
      <c r="O97" s="1633"/>
      <c r="P97" s="1633"/>
      <c r="AH97" s="1640">
        <v>0</v>
      </c>
    </row>
    <row s="1644" customFormat="1" customHeight="1" ht="0.75" hidden="1">
      <c r="A98" s="1789"/>
      <c r="B98" s="1789"/>
      <c r="C98" s="378" t="s">
        <v>1256</v>
      </c>
      <c r="D98" s="2471"/>
      <c r="E98" s="2213"/>
      <c r="F98" s="2392"/>
      <c r="G98" s="409"/>
      <c r="H98" s="1509"/>
      <c r="I98" s="660"/>
      <c r="J98" s="580"/>
      <c r="K98" s="1509"/>
      <c r="L98" s="223"/>
      <c r="M98" s="350"/>
      <c r="N98" s="343"/>
      <c r="O98" s="1633"/>
      <c r="P98" s="1633"/>
      <c r="AH98" s="1640">
        <v>0</v>
      </c>
    </row>
    <row s="1644" customFormat="1" customHeight="1" ht="18.75" hidden="1">
      <c r="A99" s="1789" t="s">
        <v>254</v>
      </c>
      <c r="B99" s="1789" t="s">
        <v>255</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379</v>
      </c>
      <c r="M99" s="350"/>
      <c r="N99" s="343"/>
      <c r="O99" s="1633"/>
      <c r="P99" s="1633"/>
      <c r="AH99" s="1640">
        <v>0</v>
      </c>
    </row>
    <row s="1644" customFormat="1" customHeight="1" ht="18.75" hidden="1">
      <c r="A100" s="1789"/>
      <c r="B100" s="1789"/>
      <c r="C100" s="378" t="s">
        <v>1249</v>
      </c>
      <c r="D100" s="2471"/>
      <c r="E100" s="2213"/>
      <c r="F100" s="2392"/>
      <c r="G100" s="2436"/>
      <c r="H100" s="1509"/>
      <c r="I100" s="660" t="s">
        <v>1248</v>
      </c>
      <c r="J100" s="580"/>
      <c r="K100" s="1509"/>
      <c r="L100" s="223"/>
      <c r="M100" s="350"/>
      <c r="N100" s="343"/>
      <c r="O100" s="1633"/>
      <c r="P100" s="1633"/>
      <c r="AH100" s="1640">
        <v>0</v>
      </c>
    </row>
    <row s="1644" customFormat="1" customHeight="1" ht="0.75" hidden="1">
      <c r="A101" s="1789"/>
      <c r="B101" s="1789"/>
      <c r="C101" s="378" t="s">
        <v>1256</v>
      </c>
      <c r="D101" s="2471"/>
      <c r="E101" s="2213"/>
      <c r="F101" s="2392"/>
      <c r="G101" s="409"/>
      <c r="H101" s="1509"/>
      <c r="I101" s="660"/>
      <c r="J101" s="580"/>
      <c r="K101" s="1509"/>
      <c r="L101" s="223"/>
      <c r="M101" s="350"/>
      <c r="N101" s="343"/>
      <c r="O101" s="1633"/>
      <c r="P101" s="1633"/>
      <c r="AH101" s="1640">
        <v>0</v>
      </c>
    </row>
    <row s="1644" customFormat="1" customHeight="1" ht="18.75" hidden="1">
      <c r="A102" s="1789" t="s">
        <v>260</v>
      </c>
      <c r="B102" s="1789" t="s">
        <v>261</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379</v>
      </c>
      <c r="M102" s="350"/>
      <c r="N102" s="343"/>
      <c r="O102" s="1633"/>
      <c r="P102" s="1633"/>
      <c r="AH102" s="1640">
        <v>0</v>
      </c>
    </row>
    <row s="1644" customFormat="1" customHeight="1" ht="18.75" hidden="1">
      <c r="A103" s="1789"/>
      <c r="B103" s="1789"/>
      <c r="C103" s="378" t="s">
        <v>1249</v>
      </c>
      <c r="D103" s="2471"/>
      <c r="E103" s="2213"/>
      <c r="F103" s="2392"/>
      <c r="G103" s="2436"/>
      <c r="H103" s="1509"/>
      <c r="I103" s="660" t="s">
        <v>1248</v>
      </c>
      <c r="J103" s="580"/>
      <c r="K103" s="1509"/>
      <c r="L103" s="223"/>
      <c r="M103" s="350"/>
      <c r="N103" s="343"/>
      <c r="O103" s="1633"/>
      <c r="P103" s="1633"/>
      <c r="AH103" s="1640">
        <v>0</v>
      </c>
    </row>
    <row s="1644" customFormat="1" customHeight="1" ht="0.75" hidden="1">
      <c r="A104" s="1789"/>
      <c r="B104" s="1789"/>
      <c r="C104" s="378" t="s">
        <v>1256</v>
      </c>
      <c r="D104" s="2471"/>
      <c r="E104" s="2213"/>
      <c r="F104" s="2392"/>
      <c r="G104" s="409"/>
      <c r="H104" s="1509"/>
      <c r="I104" s="660"/>
      <c r="J104" s="580"/>
      <c r="K104" s="1509"/>
      <c r="L104" s="223"/>
      <c r="M104" s="350"/>
      <c r="N104" s="343"/>
      <c r="O104" s="1633"/>
      <c r="P104" s="1633"/>
      <c r="AH104" s="1640">
        <v>0</v>
      </c>
    </row>
    <row s="1644" customFormat="1" customHeight="1" ht="18.75" hidden="1">
      <c r="A105" s="1789" t="s">
        <v>266</v>
      </c>
      <c r="B105" s="1789" t="s">
        <v>267</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379</v>
      </c>
      <c r="M105" s="350"/>
      <c r="N105" s="343"/>
      <c r="O105" s="1633"/>
      <c r="P105" s="1633"/>
      <c r="AH105" s="1640">
        <v>0</v>
      </c>
    </row>
    <row s="1644" customFormat="1" customHeight="1" ht="18.75" hidden="1">
      <c r="A106" s="1789"/>
      <c r="B106" s="1789"/>
      <c r="C106" s="378" t="s">
        <v>1249</v>
      </c>
      <c r="D106" s="2471"/>
      <c r="E106" s="2213"/>
      <c r="F106" s="2392"/>
      <c r="G106" s="2436"/>
      <c r="H106" s="1509"/>
      <c r="I106" s="660" t="s">
        <v>1248</v>
      </c>
      <c r="J106" s="580"/>
      <c r="K106" s="1509"/>
      <c r="L106" s="223"/>
      <c r="M106" s="350"/>
      <c r="N106" s="343"/>
      <c r="O106" s="1633"/>
      <c r="P106" s="1633"/>
      <c r="AH106" s="1640">
        <v>0</v>
      </c>
    </row>
    <row s="1644" customFormat="1" customHeight="1" ht="0.75" hidden="1">
      <c r="A107" s="1789"/>
      <c r="B107" s="1789"/>
      <c r="C107" s="378" t="s">
        <v>1256</v>
      </c>
      <c r="D107" s="2471"/>
      <c r="E107" s="2213"/>
      <c r="F107" s="2392"/>
      <c r="G107" s="409"/>
      <c r="H107" s="1509"/>
      <c r="I107" s="660"/>
      <c r="J107" s="580"/>
      <c r="K107" s="1509"/>
      <c r="L107" s="223"/>
      <c r="M107" s="350"/>
      <c r="N107" s="343"/>
      <c r="O107" s="1633"/>
      <c r="P107" s="1633"/>
      <c r="AH107" s="1640">
        <v>0</v>
      </c>
    </row>
    <row s="1644" customFormat="1" customHeight="1" ht="18.75" hidden="1">
      <c r="A108" s="1789" t="s">
        <v>272</v>
      </c>
      <c r="B108" s="1789" t="s">
        <v>273</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379</v>
      </c>
      <c r="M108" s="350"/>
      <c r="N108" s="343"/>
      <c r="O108" s="1633"/>
      <c r="P108" s="1633"/>
      <c r="AH108" s="1640">
        <v>0</v>
      </c>
    </row>
    <row s="1644" customFormat="1" customHeight="1" ht="18.75" hidden="1">
      <c r="A109" s="1789"/>
      <c r="B109" s="1789"/>
      <c r="C109" s="378" t="s">
        <v>1249</v>
      </c>
      <c r="D109" s="2471"/>
      <c r="E109" s="2213"/>
      <c r="F109" s="2392"/>
      <c r="G109" s="2436"/>
      <c r="H109" s="1509"/>
      <c r="I109" s="660" t="s">
        <v>1248</v>
      </c>
      <c r="J109" s="580"/>
      <c r="K109" s="1509"/>
      <c r="L109" s="223"/>
      <c r="M109" s="350"/>
      <c r="N109" s="343"/>
      <c r="O109" s="1633"/>
      <c r="P109" s="1633"/>
      <c r="AH109" s="1640">
        <v>0</v>
      </c>
    </row>
    <row s="1644" customFormat="1" customHeight="1" ht="0.75" hidden="1">
      <c r="A110" s="1789"/>
      <c r="B110" s="1789"/>
      <c r="C110" s="378" t="s">
        <v>1256</v>
      </c>
      <c r="D110" s="2471"/>
      <c r="E110" s="2213"/>
      <c r="F110" s="2392"/>
      <c r="G110" s="409"/>
      <c r="H110" s="1509"/>
      <c r="I110" s="660"/>
      <c r="J110" s="580"/>
      <c r="K110" s="1509"/>
      <c r="L110" s="223"/>
      <c r="M110" s="350"/>
      <c r="N110" s="343"/>
      <c r="O110" s="1633"/>
      <c r="P110" s="1633"/>
      <c r="AH110" s="1640">
        <v>0</v>
      </c>
    </row>
    <row s="1644" customFormat="1" customHeight="1" ht="18.75" hidden="1">
      <c r="A111" s="1789" t="s">
        <v>278</v>
      </c>
      <c r="B111" s="1789" t="s">
        <v>279</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379</v>
      </c>
      <c r="M111" s="350"/>
      <c r="N111" s="343"/>
      <c r="O111" s="1633"/>
      <c r="P111" s="1633"/>
      <c r="AH111" s="1640">
        <v>0</v>
      </c>
    </row>
    <row s="1644" customFormat="1" customHeight="1" ht="18.75" hidden="1">
      <c r="A112" s="1789"/>
      <c r="B112" s="1789"/>
      <c r="C112" s="378" t="s">
        <v>1249</v>
      </c>
      <c r="D112" s="2471"/>
      <c r="E112" s="2213"/>
      <c r="F112" s="2392"/>
      <c r="G112" s="2436"/>
      <c r="H112" s="1509"/>
      <c r="I112" s="660" t="s">
        <v>1248</v>
      </c>
      <c r="J112" s="580"/>
      <c r="K112" s="1509"/>
      <c r="L112" s="223"/>
      <c r="M112" s="350"/>
      <c r="N112" s="343"/>
      <c r="O112" s="1633"/>
      <c r="P112" s="1633"/>
      <c r="AH112" s="1640">
        <v>0</v>
      </c>
    </row>
    <row s="1644" customFormat="1" customHeight="1" ht="0.75" hidden="1">
      <c r="A113" s="1789"/>
      <c r="B113" s="1789"/>
      <c r="C113" s="378" t="s">
        <v>1256</v>
      </c>
      <c r="D113" s="2471"/>
      <c r="E113" s="2213"/>
      <c r="F113" s="2392"/>
      <c r="G113" s="409"/>
      <c r="H113" s="1509"/>
      <c r="I113" s="660"/>
      <c r="J113" s="580"/>
      <c r="K113" s="1509"/>
      <c r="L113" s="223"/>
      <c r="M113" s="350"/>
      <c r="N113" s="343"/>
      <c r="O113" s="1633"/>
      <c r="P113" s="1633"/>
      <c r="AH113" s="1640">
        <v>0</v>
      </c>
    </row>
    <row s="1644" customFormat="1" customHeight="1" ht="18.75" hidden="1">
      <c r="A114" s="1789" t="s">
        <v>298</v>
      </c>
      <c r="B114" s="1789" t="s">
        <v>299</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379</v>
      </c>
      <c r="M114" s="350"/>
      <c r="N114" s="343"/>
      <c r="O114" s="1633"/>
      <c r="P114" s="1633"/>
      <c r="AH114" s="1640">
        <v>0</v>
      </c>
    </row>
    <row s="1644" customFormat="1" customHeight="1" ht="18.75" hidden="1">
      <c r="A115" s="1789"/>
      <c r="B115" s="1789"/>
      <c r="C115" s="378" t="s">
        <v>1249</v>
      </c>
      <c r="D115" s="2471"/>
      <c r="E115" s="2213"/>
      <c r="F115" s="2392"/>
      <c r="G115" s="2436"/>
      <c r="H115" s="1509"/>
      <c r="I115" s="660" t="s">
        <v>1248</v>
      </c>
      <c r="J115" s="580"/>
      <c r="K115" s="1509"/>
      <c r="L115" s="223"/>
      <c r="M115" s="350"/>
      <c r="N115" s="343"/>
      <c r="O115" s="1633"/>
      <c r="P115" s="1633"/>
      <c r="AH115" s="1640">
        <v>0</v>
      </c>
    </row>
    <row s="1644" customFormat="1" customHeight="1" ht="0.75" hidden="1">
      <c r="A116" s="1789"/>
      <c r="B116" s="1789"/>
      <c r="C116" s="378" t="s">
        <v>1256</v>
      </c>
      <c r="D116" s="2471"/>
      <c r="E116" s="2213"/>
      <c r="F116" s="2392"/>
      <c r="G116" s="409"/>
      <c r="H116" s="1509"/>
      <c r="I116" s="660"/>
      <c r="J116" s="580"/>
      <c r="K116" s="1509"/>
      <c r="L116" s="223"/>
      <c r="M116" s="350"/>
      <c r="N116" s="343"/>
      <c r="O116" s="1633"/>
      <c r="P116" s="1633"/>
      <c r="AH116" s="1640">
        <v>0</v>
      </c>
    </row>
    <row s="1644" customFormat="1" customHeight="1" ht="18.75" hidden="1">
      <c r="A117" s="1789" t="s">
        <v>303</v>
      </c>
      <c r="B117" s="1789" t="s">
        <v>304</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379</v>
      </c>
      <c r="M117" s="350"/>
      <c r="N117" s="343"/>
      <c r="O117" s="1633"/>
      <c r="P117" s="1633"/>
      <c r="AH117" s="1640">
        <v>0</v>
      </c>
    </row>
    <row s="1644" customFormat="1" customHeight="1" ht="18.75" hidden="1">
      <c r="A118" s="1789"/>
      <c r="B118" s="1789"/>
      <c r="C118" s="378" t="s">
        <v>1249</v>
      </c>
      <c r="D118" s="2471"/>
      <c r="E118" s="2213"/>
      <c r="F118" s="2392"/>
      <c r="G118" s="2436"/>
      <c r="H118" s="1509"/>
      <c r="I118" s="660" t="s">
        <v>1248</v>
      </c>
      <c r="J118" s="580"/>
      <c r="K118" s="1509"/>
      <c r="L118" s="223"/>
      <c r="M118" s="350"/>
      <c r="N118" s="343"/>
      <c r="O118" s="1633"/>
      <c r="P118" s="1633"/>
      <c r="AH118" s="1640">
        <v>0</v>
      </c>
    </row>
    <row s="1644" customFormat="1" customHeight="1" ht="0.75" hidden="1">
      <c r="A119" s="1789"/>
      <c r="B119" s="1789"/>
      <c r="C119" s="378" t="s">
        <v>1256</v>
      </c>
      <c r="D119" s="2471"/>
      <c r="E119" s="2213"/>
      <c r="F119" s="2392"/>
      <c r="G119" s="409"/>
      <c r="H119" s="1509"/>
      <c r="I119" s="660"/>
      <c r="J119" s="580"/>
      <c r="K119" s="1509"/>
      <c r="L119" s="223"/>
      <c r="M119" s="350"/>
      <c r="N119" s="343"/>
      <c r="O119" s="1633"/>
      <c r="P119" s="1633"/>
      <c r="AH119" s="1640">
        <v>0</v>
      </c>
    </row>
    <row s="1644" customFormat="1" customHeight="1" ht="18.75" hidden="1">
      <c r="A120" s="1789" t="s">
        <v>308</v>
      </c>
      <c r="B120" s="1789" t="s">
        <v>309</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379</v>
      </c>
      <c r="M120" s="350"/>
      <c r="N120" s="343"/>
      <c r="O120" s="1633"/>
      <c r="P120" s="1633"/>
      <c r="AH120" s="1640">
        <v>0</v>
      </c>
    </row>
    <row s="1644" customFormat="1" customHeight="1" ht="18.75" hidden="1">
      <c r="A121" s="1789"/>
      <c r="B121" s="1789"/>
      <c r="C121" s="378" t="s">
        <v>1249</v>
      </c>
      <c r="D121" s="2471"/>
      <c r="E121" s="2213"/>
      <c r="F121" s="2392"/>
      <c r="G121" s="2436"/>
      <c r="H121" s="1509"/>
      <c r="I121" s="660" t="s">
        <v>1248</v>
      </c>
      <c r="J121" s="580"/>
      <c r="K121" s="1509"/>
      <c r="L121" s="223"/>
      <c r="M121" s="350"/>
      <c r="N121" s="343"/>
      <c r="O121" s="1633"/>
      <c r="P121" s="1633"/>
      <c r="AH121" s="1640">
        <v>0</v>
      </c>
    </row>
    <row s="1644" customFormat="1" customHeight="1" ht="0.75" hidden="1">
      <c r="A122" s="1789"/>
      <c r="B122" s="1789"/>
      <c r="C122" s="378" t="s">
        <v>1256</v>
      </c>
      <c r="D122" s="2471"/>
      <c r="E122" s="2213"/>
      <c r="F122" s="2392"/>
      <c r="G122" s="409"/>
      <c r="H122" s="1509"/>
      <c r="I122" s="660"/>
      <c r="J122" s="580"/>
      <c r="K122" s="1509"/>
      <c r="L122" s="223"/>
      <c r="M122" s="350"/>
      <c r="N122" s="343"/>
      <c r="O122" s="1633"/>
      <c r="P122" s="1633"/>
      <c r="AH122" s="1640">
        <v>0</v>
      </c>
    </row>
    <row s="1644" customFormat="1" customHeight="1" ht="18.75" hidden="1">
      <c r="A123" s="1789" t="s">
        <v>313</v>
      </c>
      <c r="B123" s="1789" t="s">
        <v>314</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379</v>
      </c>
      <c r="M123" s="350"/>
      <c r="N123" s="343"/>
      <c r="O123" s="1633"/>
      <c r="P123" s="1633"/>
      <c r="AH123" s="1640">
        <v>0</v>
      </c>
    </row>
    <row s="1644" customFormat="1" customHeight="1" ht="18.75" hidden="1">
      <c r="A124" s="1789"/>
      <c r="B124" s="1789"/>
      <c r="C124" s="378" t="s">
        <v>1249</v>
      </c>
      <c r="D124" s="2471"/>
      <c r="E124" s="2213"/>
      <c r="F124" s="2392"/>
      <c r="G124" s="2436"/>
      <c r="H124" s="1509"/>
      <c r="I124" s="660" t="s">
        <v>1248</v>
      </c>
      <c r="J124" s="580"/>
      <c r="K124" s="1509"/>
      <c r="L124" s="223"/>
      <c r="M124" s="350"/>
      <c r="N124" s="343"/>
      <c r="O124" s="1633"/>
      <c r="P124" s="1633"/>
      <c r="AH124" s="1640">
        <v>0</v>
      </c>
    </row>
    <row s="1644" customFormat="1" customHeight="1" ht="0.75" hidden="1">
      <c r="A125" s="1789"/>
      <c r="B125" s="1789"/>
      <c r="C125" s="378" t="s">
        <v>1256</v>
      </c>
      <c r="D125" s="2471"/>
      <c r="E125" s="2213"/>
      <c r="F125" s="2392"/>
      <c r="G125" s="409"/>
      <c r="H125" s="1509"/>
      <c r="I125" s="660"/>
      <c r="J125" s="580"/>
      <c r="K125" s="1509"/>
      <c r="L125" s="223"/>
      <c r="M125" s="350"/>
      <c r="N125" s="343"/>
      <c r="O125" s="1633"/>
      <c r="P125" s="1633"/>
      <c r="AH125" s="1640">
        <v>0</v>
      </c>
    </row>
    <row s="1644" customFormat="1" customHeight="1" ht="18.75" hidden="1">
      <c r="A126" s="1789" t="s">
        <v>318</v>
      </c>
      <c r="B126" s="1789" t="s">
        <v>319</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379</v>
      </c>
      <c r="M126" s="350"/>
      <c r="N126" s="343"/>
      <c r="O126" s="1633"/>
      <c r="P126" s="1633"/>
      <c r="AH126" s="1640">
        <v>0</v>
      </c>
    </row>
    <row s="1644" customFormat="1" customHeight="1" ht="18.75" hidden="1">
      <c r="A127" s="1789"/>
      <c r="B127" s="1789"/>
      <c r="C127" s="378" t="s">
        <v>1249</v>
      </c>
      <c r="D127" s="2471"/>
      <c r="E127" s="2213"/>
      <c r="F127" s="2392"/>
      <c r="G127" s="2436"/>
      <c r="H127" s="1509"/>
      <c r="I127" s="660" t="s">
        <v>1248</v>
      </c>
      <c r="J127" s="580"/>
      <c r="K127" s="1509"/>
      <c r="L127" s="223"/>
      <c r="M127" s="350"/>
      <c r="N127" s="343"/>
      <c r="O127" s="1633"/>
      <c r="P127" s="1633"/>
      <c r="AH127" s="1640">
        <v>0</v>
      </c>
    </row>
    <row s="1644" customFormat="1" customHeight="1" ht="0.75" hidden="1">
      <c r="A128" s="1789"/>
      <c r="B128" s="1789"/>
      <c r="C128" s="378" t="s">
        <v>1256</v>
      </c>
      <c r="D128" s="2471"/>
      <c r="E128" s="2213"/>
      <c r="F128" s="2392"/>
      <c r="G128" s="409"/>
      <c r="H128" s="1509"/>
      <c r="I128" s="660"/>
      <c r="J128" s="580"/>
      <c r="K128" s="1509"/>
      <c r="L128" s="223"/>
      <c r="M128" s="350"/>
      <c r="N128" s="343"/>
      <c r="O128" s="1633"/>
      <c r="P128" s="1633"/>
      <c r="AH128" s="1640">
        <v>0</v>
      </c>
    </row>
    <row s="1644" customFormat="1" customHeight="1" ht="18.75" hidden="1">
      <c r="A129" s="1789" t="s">
        <v>323</v>
      </c>
      <c r="B129" s="1789" t="s">
        <v>324</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379</v>
      </c>
      <c r="M129" s="350"/>
      <c r="N129" s="343"/>
      <c r="O129" s="1633"/>
      <c r="P129" s="1633"/>
      <c r="AH129" s="1640">
        <v>0</v>
      </c>
    </row>
    <row s="1644" customFormat="1" customHeight="1" ht="18.75" hidden="1">
      <c r="A130" s="1789"/>
      <c r="B130" s="1789"/>
      <c r="C130" s="378" t="s">
        <v>1249</v>
      </c>
      <c r="D130" s="2471"/>
      <c r="E130" s="2213"/>
      <c r="F130" s="2392"/>
      <c r="G130" s="2436"/>
      <c r="H130" s="1509"/>
      <c r="I130" s="660" t="s">
        <v>1248</v>
      </c>
      <c r="J130" s="580"/>
      <c r="K130" s="1509"/>
      <c r="L130" s="223"/>
      <c r="M130" s="350"/>
      <c r="N130" s="343"/>
      <c r="O130" s="1633"/>
      <c r="P130" s="1633"/>
      <c r="AH130" s="1640">
        <v>0</v>
      </c>
    </row>
    <row s="1644" customFormat="1" customHeight="1" ht="0.75" hidden="1">
      <c r="A131" s="1789"/>
      <c r="B131" s="1789"/>
      <c r="C131" s="378" t="s">
        <v>1256</v>
      </c>
      <c r="D131" s="2471"/>
      <c r="E131" s="2213"/>
      <c r="F131" s="2392"/>
      <c r="G131" s="409"/>
      <c r="H131" s="1509"/>
      <c r="I131" s="660"/>
      <c r="J131" s="580"/>
      <c r="K131" s="1509"/>
      <c r="L131" s="223"/>
      <c r="M131" s="350"/>
      <c r="N131" s="343"/>
      <c r="O131" s="1633"/>
      <c r="P131" s="1633"/>
      <c r="AH131" s="1640">
        <v>0</v>
      </c>
    </row>
    <row s="1644" customFormat="1" customHeight="1" ht="18.75" hidden="1">
      <c r="A132" s="1789" t="s">
        <v>328</v>
      </c>
      <c r="B132" s="1789" t="s">
        <v>329</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379</v>
      </c>
      <c r="M132" s="350"/>
      <c r="N132" s="343"/>
      <c r="O132" s="1633"/>
      <c r="P132" s="1633"/>
      <c r="AH132" s="1640">
        <v>0</v>
      </c>
    </row>
    <row s="1644" customFormat="1" customHeight="1" ht="18.75" hidden="1">
      <c r="A133" s="1789"/>
      <c r="B133" s="1789"/>
      <c r="C133" s="378" t="s">
        <v>1249</v>
      </c>
      <c r="D133" s="2471"/>
      <c r="E133" s="2213"/>
      <c r="F133" s="2392"/>
      <c r="G133" s="2436"/>
      <c r="H133" s="1509"/>
      <c r="I133" s="660" t="s">
        <v>1248</v>
      </c>
      <c r="J133" s="580"/>
      <c r="K133" s="1509"/>
      <c r="L133" s="223"/>
      <c r="M133" s="350"/>
      <c r="N133" s="343"/>
      <c r="O133" s="1633"/>
      <c r="P133" s="1633"/>
      <c r="AH133" s="1640">
        <v>0</v>
      </c>
    </row>
    <row s="1644" customFormat="1" customHeight="1" ht="0.75" hidden="1">
      <c r="A134" s="1789"/>
      <c r="B134" s="1789"/>
      <c r="C134" s="378" t="s">
        <v>1256</v>
      </c>
      <c r="D134" s="2471"/>
      <c r="E134" s="2213"/>
      <c r="F134" s="2392"/>
      <c r="G134" s="409"/>
      <c r="H134" s="1509"/>
      <c r="I134" s="660"/>
      <c r="J134" s="580"/>
      <c r="K134" s="1509"/>
      <c r="L134" s="223"/>
      <c r="M134" s="350"/>
      <c r="N134" s="343"/>
      <c r="O134" s="1633"/>
      <c r="P134" s="1633"/>
      <c r="AH134" s="1640">
        <v>0</v>
      </c>
    </row>
    <row s="1644" customFormat="1" customHeight="1" ht="18.75" hidden="1">
      <c r="A135" s="1789" t="s">
        <v>333</v>
      </c>
      <c r="B135" s="1789" t="s">
        <v>334</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379</v>
      </c>
      <c r="M135" s="350"/>
      <c r="N135" s="343"/>
      <c r="O135" s="1633"/>
      <c r="P135" s="1633"/>
      <c r="AH135" s="1640">
        <v>0</v>
      </c>
    </row>
    <row s="1644" customFormat="1" customHeight="1" ht="18.75" hidden="1">
      <c r="A136" s="1789"/>
      <c r="B136" s="1789"/>
      <c r="C136" s="378" t="s">
        <v>1249</v>
      </c>
      <c r="D136" s="2471"/>
      <c r="E136" s="2213"/>
      <c r="F136" s="2392"/>
      <c r="G136" s="2436"/>
      <c r="H136" s="1509"/>
      <c r="I136" s="660" t="s">
        <v>1248</v>
      </c>
      <c r="J136" s="580"/>
      <c r="K136" s="1509"/>
      <c r="L136" s="223"/>
      <c r="M136" s="350"/>
      <c r="N136" s="343"/>
      <c r="O136" s="1633"/>
      <c r="P136" s="1633"/>
      <c r="AH136" s="1640">
        <v>0</v>
      </c>
    </row>
    <row s="1644" customFormat="1" customHeight="1" ht="0.75" hidden="1">
      <c r="A137" s="1789"/>
      <c r="B137" s="1789"/>
      <c r="C137" s="378" t="s">
        <v>1256</v>
      </c>
      <c r="D137" s="2471"/>
      <c r="E137" s="2213"/>
      <c r="F137" s="2392"/>
      <c r="G137" s="409"/>
      <c r="H137" s="1509"/>
      <c r="I137" s="660"/>
      <c r="J137" s="580"/>
      <c r="K137" s="1509"/>
      <c r="L137" s="223"/>
      <c r="M137" s="350"/>
      <c r="N137" s="343"/>
      <c r="O137" s="1633"/>
      <c r="P137" s="1633"/>
      <c r="AH137" s="1640">
        <v>0</v>
      </c>
    </row>
    <row s="1644" customFormat="1" customHeight="1" ht="18.75" hidden="1">
      <c r="A138" s="1789" t="s">
        <v>338</v>
      </c>
      <c r="B138" s="1789" t="s">
        <v>339</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379</v>
      </c>
      <c r="M138" s="350"/>
      <c r="N138" s="343"/>
      <c r="O138" s="1633"/>
      <c r="P138" s="1633"/>
      <c r="AH138" s="1640">
        <v>0</v>
      </c>
    </row>
    <row s="1644" customFormat="1" customHeight="1" ht="18.75" hidden="1">
      <c r="A139" s="1789"/>
      <c r="B139" s="1789"/>
      <c r="C139" s="378" t="s">
        <v>1249</v>
      </c>
      <c r="D139" s="2471"/>
      <c r="E139" s="2213"/>
      <c r="F139" s="2392"/>
      <c r="G139" s="2436"/>
      <c r="H139" s="1509"/>
      <c r="I139" s="660" t="s">
        <v>1248</v>
      </c>
      <c r="J139" s="580"/>
      <c r="K139" s="1509"/>
      <c r="L139" s="223"/>
      <c r="M139" s="350"/>
      <c r="N139" s="343"/>
      <c r="O139" s="1633"/>
      <c r="P139" s="1633"/>
      <c r="AH139" s="1640">
        <v>0</v>
      </c>
    </row>
    <row s="1644" customFormat="1" customHeight="1" ht="0.75" hidden="1">
      <c r="A140" s="1789"/>
      <c r="B140" s="1789"/>
      <c r="C140" s="378" t="s">
        <v>1256</v>
      </c>
      <c r="D140" s="2471"/>
      <c r="E140" s="2213"/>
      <c r="F140" s="2392"/>
      <c r="G140" s="409"/>
      <c r="H140" s="1509"/>
      <c r="I140" s="660"/>
      <c r="J140" s="580"/>
      <c r="K140" s="1509"/>
      <c r="L140" s="223"/>
      <c r="M140" s="350"/>
      <c r="N140" s="343"/>
      <c r="O140" s="1633"/>
      <c r="P140" s="1633"/>
      <c r="AH140" s="1640">
        <v>0</v>
      </c>
    </row>
    <row s="1644" customFormat="1" customHeight="1" ht="18.75" hidden="1">
      <c r="A141" s="1789" t="s">
        <v>343</v>
      </c>
      <c r="B141" s="1789" t="s">
        <v>344</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379</v>
      </c>
      <c r="M141" s="350"/>
      <c r="N141" s="343"/>
      <c r="O141" s="1633"/>
      <c r="P141" s="1633"/>
      <c r="AH141" s="1640">
        <v>0</v>
      </c>
    </row>
    <row s="1644" customFormat="1" customHeight="1" ht="18.75" hidden="1">
      <c r="A142" s="1789"/>
      <c r="B142" s="1789"/>
      <c r="C142" s="378" t="s">
        <v>1249</v>
      </c>
      <c r="D142" s="2471"/>
      <c r="E142" s="2213"/>
      <c r="F142" s="2392"/>
      <c r="G142" s="2436"/>
      <c r="H142" s="1509"/>
      <c r="I142" s="660" t="s">
        <v>1248</v>
      </c>
      <c r="J142" s="580"/>
      <c r="K142" s="1509"/>
      <c r="L142" s="223"/>
      <c r="M142" s="350"/>
      <c r="N142" s="343"/>
      <c r="O142" s="1633"/>
      <c r="P142" s="1633"/>
      <c r="AH142" s="1640">
        <v>0</v>
      </c>
    </row>
    <row s="1644" customFormat="1" customHeight="1" ht="0.75" hidden="1">
      <c r="A143" s="1789"/>
      <c r="B143" s="1789"/>
      <c r="C143" s="378" t="s">
        <v>1256</v>
      </c>
      <c r="D143" s="2471"/>
      <c r="E143" s="2213"/>
      <c r="F143" s="2392"/>
      <c r="G143" s="409"/>
      <c r="H143" s="1509"/>
      <c r="I143" s="660"/>
      <c r="J143" s="580"/>
      <c r="K143" s="1509"/>
      <c r="L143" s="223"/>
      <c r="M143" s="350"/>
      <c r="N143" s="343"/>
      <c r="O143" s="1633"/>
      <c r="P143" s="1633"/>
      <c r="AH143" s="1640">
        <v>0</v>
      </c>
    </row>
    <row s="1644" customFormat="1" customHeight="1" ht="18.75" hidden="1">
      <c r="A144" s="1789" t="s">
        <v>348</v>
      </c>
      <c r="B144" s="1789" t="s">
        <v>349</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379</v>
      </c>
      <c r="M144" s="350"/>
      <c r="N144" s="343"/>
      <c r="O144" s="1633"/>
      <c r="P144" s="1633"/>
      <c r="AH144" s="1640">
        <v>0</v>
      </c>
    </row>
    <row s="1644" customFormat="1" customHeight="1" ht="18.75" hidden="1">
      <c r="A145" s="1789"/>
      <c r="B145" s="1789"/>
      <c r="C145" s="378" t="s">
        <v>1249</v>
      </c>
      <c r="D145" s="2471"/>
      <c r="E145" s="2213"/>
      <c r="F145" s="2392"/>
      <c r="G145" s="2436"/>
      <c r="H145" s="1509"/>
      <c r="I145" s="660" t="s">
        <v>1248</v>
      </c>
      <c r="J145" s="580"/>
      <c r="K145" s="1509"/>
      <c r="L145" s="223"/>
      <c r="M145" s="350"/>
      <c r="N145" s="343"/>
      <c r="O145" s="1633"/>
      <c r="P145" s="1633"/>
      <c r="AH145" s="1640">
        <v>0</v>
      </c>
    </row>
    <row s="1644" customFormat="1" customHeight="1" ht="1.05">
      <c r="A146" s="1789"/>
      <c r="B146" s="1789"/>
      <c r="C146" s="378" t="s">
        <v>1256</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91</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9"/>
      <c r="H147" s="2469"/>
      <c r="I147" s="2469"/>
      <c r="J147" s="2469"/>
      <c r="K147" s="2469"/>
      <c r="L147" s="2469"/>
      <c r="M147" s="306"/>
      <c r="N147" s="343"/>
      <c r="AH147" s="383">
        <v>19</v>
      </c>
    </row>
    <row s="1644" customFormat="1" customHeight="1" ht="60.75" hidden="1">
      <c r="A148" s="1789" t="s">
        <v>230</v>
      </c>
      <c r="B148" s="1789" t="s">
        <v>231</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379</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1249</v>
      </c>
      <c r="D149" s="2471"/>
      <c r="E149" s="2213"/>
      <c r="F149" s="2392"/>
      <c r="G149" s="2436"/>
      <c r="H149" s="1509"/>
      <c r="I149" s="660" t="s">
        <v>1248</v>
      </c>
      <c r="J149" s="580"/>
      <c r="K149" s="1509"/>
      <c r="L149" s="223"/>
      <c r="M149" s="2179"/>
      <c r="N149" s="343"/>
      <c r="O149" s="1633"/>
      <c r="P149" s="1633"/>
      <c r="AH149" s="1640">
        <v>0</v>
      </c>
    </row>
    <row s="1644" customFormat="1" customHeight="1" ht="0.75" hidden="1">
      <c r="A150" s="1789"/>
      <c r="B150" s="1789"/>
      <c r="C150" s="378" t="s">
        <v>1256</v>
      </c>
      <c r="D150" s="2471"/>
      <c r="E150" s="2213"/>
      <c r="F150" s="2392"/>
      <c r="G150" s="409"/>
      <c r="H150" s="1509"/>
      <c r="I150" s="660"/>
      <c r="J150" s="580"/>
      <c r="K150" s="1509"/>
      <c r="L150" s="223"/>
      <c r="M150" s="2179"/>
      <c r="N150" s="343"/>
      <c r="O150" s="1633"/>
      <c r="P150" s="1633"/>
      <c r="AH150" s="1640">
        <v>0</v>
      </c>
    </row>
    <row s="1644" customFormat="1" customHeight="1" ht="45" hidden="1">
      <c r="A151" s="1789" t="s">
        <v>235</v>
      </c>
      <c r="B151" s="1789" t="s">
        <v>236</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379</v>
      </c>
      <c r="M151" s="2180"/>
      <c r="N151" s="343"/>
      <c r="O151" s="1633"/>
      <c r="P151" s="1633"/>
      <c r="AH151" s="1640">
        <v>0</v>
      </c>
    </row>
    <row s="1644" customFormat="1" customHeight="1" ht="18.75" hidden="1">
      <c r="A152" s="1789"/>
      <c r="B152" s="1789"/>
      <c r="C152" s="378" t="s">
        <v>1249</v>
      </c>
      <c r="D152" s="2471"/>
      <c r="E152" s="2213"/>
      <c r="F152" s="2392"/>
      <c r="G152" s="2436"/>
      <c r="H152" s="1509"/>
      <c r="I152" s="660" t="s">
        <v>1248</v>
      </c>
      <c r="J152" s="580"/>
      <c r="K152" s="1509"/>
      <c r="L152" s="223"/>
      <c r="M152" s="1870"/>
      <c r="N152" s="343"/>
      <c r="O152" s="1633"/>
      <c r="P152" s="1633"/>
      <c r="AH152" s="1640">
        <v>0</v>
      </c>
    </row>
    <row s="1644" customFormat="1" customHeight="1" ht="0.75" hidden="1">
      <c r="A153" s="1789"/>
      <c r="B153" s="1789"/>
      <c r="C153" s="378" t="s">
        <v>1256</v>
      </c>
      <c r="D153" s="2471"/>
      <c r="E153" s="2213"/>
      <c r="F153" s="2392"/>
      <c r="G153" s="409"/>
      <c r="H153" s="1509"/>
      <c r="I153" s="660"/>
      <c r="J153" s="580"/>
      <c r="K153" s="1509"/>
      <c r="L153" s="223"/>
      <c r="M153" s="350"/>
      <c r="N153" s="343"/>
      <c r="O153" s="1633"/>
      <c r="P153" s="1633"/>
      <c r="AH153" s="1640">
        <v>0</v>
      </c>
    </row>
    <row s="1644" customFormat="1" customHeight="1" ht="45" hidden="1">
      <c r="A154" s="1789" t="s">
        <v>242</v>
      </c>
      <c r="B154" s="1789" t="s">
        <v>243</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379</v>
      </c>
      <c r="M154" s="350"/>
      <c r="N154" s="343"/>
      <c r="O154" s="1633"/>
      <c r="P154" s="1633"/>
      <c r="AH154" s="1640">
        <v>0</v>
      </c>
    </row>
    <row s="1644" customFormat="1" customHeight="1" ht="18.75" hidden="1">
      <c r="A155" s="1789"/>
      <c r="B155" s="1789"/>
      <c r="C155" s="378" t="s">
        <v>1249</v>
      </c>
      <c r="D155" s="2471"/>
      <c r="E155" s="2213"/>
      <c r="F155" s="2392"/>
      <c r="G155" s="2436"/>
      <c r="H155" s="1509"/>
      <c r="I155" s="660" t="s">
        <v>1248</v>
      </c>
      <c r="J155" s="580"/>
      <c r="K155" s="1509"/>
      <c r="L155" s="223"/>
      <c r="M155" s="350"/>
      <c r="N155" s="343"/>
      <c r="O155" s="1633"/>
      <c r="P155" s="1633"/>
      <c r="AH155" s="1640">
        <v>0</v>
      </c>
    </row>
    <row s="1644" customFormat="1" customHeight="1" ht="0.75" hidden="1">
      <c r="A156" s="1789"/>
      <c r="B156" s="1789"/>
      <c r="C156" s="378" t="s">
        <v>1256</v>
      </c>
      <c r="D156" s="2471"/>
      <c r="E156" s="2213"/>
      <c r="F156" s="2392"/>
      <c r="G156" s="409"/>
      <c r="H156" s="1509"/>
      <c r="I156" s="660"/>
      <c r="J156" s="580"/>
      <c r="K156" s="1509"/>
      <c r="L156" s="223"/>
      <c r="M156" s="350"/>
      <c r="N156" s="343"/>
      <c r="O156" s="1633"/>
      <c r="P156" s="1633"/>
      <c r="AH156" s="1640">
        <v>0</v>
      </c>
    </row>
    <row s="1644" customFormat="1" customHeight="1" ht="45" hidden="1">
      <c r="A157" s="1789" t="s">
        <v>248</v>
      </c>
      <c r="B157" s="1789" t="s">
        <v>249</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379</v>
      </c>
      <c r="M157" s="350"/>
      <c r="N157" s="343"/>
      <c r="O157" s="1633"/>
      <c r="P157" s="1633"/>
      <c r="AH157" s="1640">
        <v>0</v>
      </c>
    </row>
    <row s="1644" customFormat="1" customHeight="1" ht="18.75" hidden="1">
      <c r="A158" s="1789"/>
      <c r="B158" s="1789"/>
      <c r="C158" s="378" t="s">
        <v>1249</v>
      </c>
      <c r="D158" s="2471"/>
      <c r="E158" s="2213"/>
      <c r="F158" s="2392"/>
      <c r="G158" s="2436"/>
      <c r="H158" s="1509"/>
      <c r="I158" s="660" t="s">
        <v>1248</v>
      </c>
      <c r="J158" s="580"/>
      <c r="K158" s="1509"/>
      <c r="L158" s="223"/>
      <c r="M158" s="350"/>
      <c r="N158" s="343"/>
      <c r="O158" s="1633"/>
      <c r="P158" s="1633"/>
      <c r="AH158" s="1640">
        <v>0</v>
      </c>
    </row>
    <row s="1644" customFormat="1" customHeight="1" ht="0.75" hidden="1">
      <c r="A159" s="1789"/>
      <c r="B159" s="1789"/>
      <c r="C159" s="378" t="s">
        <v>1256</v>
      </c>
      <c r="D159" s="2471"/>
      <c r="E159" s="2213"/>
      <c r="F159" s="2392"/>
      <c r="G159" s="409"/>
      <c r="H159" s="1509"/>
      <c r="I159" s="660"/>
      <c r="J159" s="580"/>
      <c r="K159" s="1509"/>
      <c r="L159" s="223"/>
      <c r="M159" s="350"/>
      <c r="N159" s="343"/>
      <c r="O159" s="1633"/>
      <c r="P159" s="1633"/>
      <c r="AH159" s="1640">
        <v>0</v>
      </c>
    </row>
    <row s="1644" customFormat="1" customHeight="1" ht="18.75" hidden="1">
      <c r="A160" s="1789" t="s">
        <v>254</v>
      </c>
      <c r="B160" s="1789" t="s">
        <v>255</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379</v>
      </c>
      <c r="M160" s="350"/>
      <c r="N160" s="343"/>
      <c r="O160" s="1633"/>
      <c r="P160" s="1633"/>
      <c r="AH160" s="1640">
        <v>0</v>
      </c>
    </row>
    <row s="1644" customFormat="1" customHeight="1" ht="18.75" hidden="1">
      <c r="A161" s="1789"/>
      <c r="B161" s="1789"/>
      <c r="C161" s="378" t="s">
        <v>1249</v>
      </c>
      <c r="D161" s="2471"/>
      <c r="E161" s="2213"/>
      <c r="F161" s="2392"/>
      <c r="G161" s="2436"/>
      <c r="H161" s="1509"/>
      <c r="I161" s="660" t="s">
        <v>1248</v>
      </c>
      <c r="J161" s="580"/>
      <c r="K161" s="1509"/>
      <c r="L161" s="223"/>
      <c r="M161" s="350"/>
      <c r="N161" s="343"/>
      <c r="O161" s="1633"/>
      <c r="P161" s="1633"/>
      <c r="AH161" s="1640">
        <v>0</v>
      </c>
    </row>
    <row s="1644" customFormat="1" customHeight="1" ht="0.75" hidden="1">
      <c r="A162" s="1789"/>
      <c r="B162" s="1789"/>
      <c r="C162" s="378" t="s">
        <v>1256</v>
      </c>
      <c r="D162" s="2471"/>
      <c r="E162" s="2213"/>
      <c r="F162" s="2392"/>
      <c r="G162" s="409"/>
      <c r="H162" s="1509"/>
      <c r="I162" s="660"/>
      <c r="J162" s="580"/>
      <c r="K162" s="1509"/>
      <c r="L162" s="223"/>
      <c r="M162" s="350"/>
      <c r="N162" s="343"/>
      <c r="O162" s="1633"/>
      <c r="P162" s="1633"/>
      <c r="AH162" s="1640">
        <v>0</v>
      </c>
    </row>
    <row s="1644" customFormat="1" customHeight="1" ht="18.75" hidden="1">
      <c r="A163" s="1789" t="s">
        <v>260</v>
      </c>
      <c r="B163" s="1789" t="s">
        <v>261</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379</v>
      </c>
      <c r="M163" s="350"/>
      <c r="N163" s="343"/>
      <c r="O163" s="1633"/>
      <c r="P163" s="1633"/>
      <c r="AH163" s="1640">
        <v>0</v>
      </c>
    </row>
    <row s="1644" customFormat="1" customHeight="1" ht="18.75" hidden="1">
      <c r="A164" s="1789"/>
      <c r="B164" s="1789"/>
      <c r="C164" s="378" t="s">
        <v>1249</v>
      </c>
      <c r="D164" s="2471"/>
      <c r="E164" s="2213"/>
      <c r="F164" s="2392"/>
      <c r="G164" s="2436"/>
      <c r="H164" s="1509"/>
      <c r="I164" s="660" t="s">
        <v>1248</v>
      </c>
      <c r="J164" s="580"/>
      <c r="K164" s="1509"/>
      <c r="L164" s="223"/>
      <c r="M164" s="350"/>
      <c r="N164" s="343"/>
      <c r="O164" s="1633"/>
      <c r="P164" s="1633"/>
      <c r="AH164" s="1640">
        <v>0</v>
      </c>
    </row>
    <row s="1644" customFormat="1" customHeight="1" ht="0.75" hidden="1">
      <c r="A165" s="1789"/>
      <c r="B165" s="1789"/>
      <c r="C165" s="378" t="s">
        <v>1256</v>
      </c>
      <c r="D165" s="2471"/>
      <c r="E165" s="2213"/>
      <c r="F165" s="2392"/>
      <c r="G165" s="409"/>
      <c r="H165" s="1509"/>
      <c r="I165" s="660"/>
      <c r="J165" s="580"/>
      <c r="K165" s="1509"/>
      <c r="L165" s="223"/>
      <c r="M165" s="350"/>
      <c r="N165" s="343"/>
      <c r="O165" s="1633"/>
      <c r="P165" s="1633"/>
      <c r="AH165" s="1640">
        <v>0</v>
      </c>
    </row>
    <row s="1644" customFormat="1" customHeight="1" ht="18.75" hidden="1">
      <c r="A166" s="1789" t="s">
        <v>266</v>
      </c>
      <c r="B166" s="1789" t="s">
        <v>267</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379</v>
      </c>
      <c r="M166" s="350"/>
      <c r="N166" s="343"/>
      <c r="O166" s="1633"/>
      <c r="P166" s="1633"/>
      <c r="AH166" s="1640">
        <v>0</v>
      </c>
    </row>
    <row s="1644" customFormat="1" customHeight="1" ht="18.75" hidden="1">
      <c r="A167" s="1789"/>
      <c r="B167" s="1789"/>
      <c r="C167" s="378" t="s">
        <v>1249</v>
      </c>
      <c r="D167" s="2471"/>
      <c r="E167" s="2213"/>
      <c r="F167" s="2392"/>
      <c r="G167" s="2436"/>
      <c r="H167" s="1509"/>
      <c r="I167" s="660" t="s">
        <v>1248</v>
      </c>
      <c r="J167" s="580"/>
      <c r="K167" s="1509"/>
      <c r="L167" s="223"/>
      <c r="M167" s="350"/>
      <c r="N167" s="343"/>
      <c r="O167" s="1633"/>
      <c r="P167" s="1633"/>
      <c r="AH167" s="1640">
        <v>0</v>
      </c>
    </row>
    <row s="1644" customFormat="1" customHeight="1" ht="0.75" hidden="1">
      <c r="A168" s="1789"/>
      <c r="B168" s="1789"/>
      <c r="C168" s="378" t="s">
        <v>1256</v>
      </c>
      <c r="D168" s="2471"/>
      <c r="E168" s="2213"/>
      <c r="F168" s="2392"/>
      <c r="G168" s="409"/>
      <c r="H168" s="1509"/>
      <c r="I168" s="660"/>
      <c r="J168" s="580"/>
      <c r="K168" s="1509"/>
      <c r="L168" s="223"/>
      <c r="M168" s="350"/>
      <c r="N168" s="343"/>
      <c r="O168" s="1633"/>
      <c r="P168" s="1633"/>
      <c r="AH168" s="1640">
        <v>0</v>
      </c>
    </row>
    <row s="1644" customFormat="1" customHeight="1" ht="18.75" hidden="1">
      <c r="A169" s="1789" t="s">
        <v>272</v>
      </c>
      <c r="B169" s="1789" t="s">
        <v>273</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379</v>
      </c>
      <c r="M169" s="350"/>
      <c r="N169" s="343"/>
      <c r="O169" s="1633"/>
      <c r="P169" s="1633"/>
      <c r="AH169" s="1640">
        <v>0</v>
      </c>
    </row>
    <row s="1644" customFormat="1" customHeight="1" ht="18.75" hidden="1">
      <c r="A170" s="1789"/>
      <c r="B170" s="1789"/>
      <c r="C170" s="378" t="s">
        <v>1249</v>
      </c>
      <c r="D170" s="2471"/>
      <c r="E170" s="2213"/>
      <c r="F170" s="2392"/>
      <c r="G170" s="2436"/>
      <c r="H170" s="1509"/>
      <c r="I170" s="660" t="s">
        <v>1248</v>
      </c>
      <c r="J170" s="580"/>
      <c r="K170" s="1509"/>
      <c r="L170" s="223"/>
      <c r="M170" s="350"/>
      <c r="N170" s="343"/>
      <c r="O170" s="1633"/>
      <c r="P170" s="1633"/>
      <c r="AH170" s="1640">
        <v>0</v>
      </c>
    </row>
    <row s="1644" customFormat="1" customHeight="1" ht="0.75" hidden="1">
      <c r="A171" s="1789"/>
      <c r="B171" s="1789"/>
      <c r="C171" s="378" t="s">
        <v>1256</v>
      </c>
      <c r="D171" s="2471"/>
      <c r="E171" s="2213"/>
      <c r="F171" s="2392"/>
      <c r="G171" s="409"/>
      <c r="H171" s="1509"/>
      <c r="I171" s="660"/>
      <c r="J171" s="580"/>
      <c r="K171" s="1509"/>
      <c r="L171" s="223"/>
      <c r="M171" s="350"/>
      <c r="N171" s="343"/>
      <c r="O171" s="1633"/>
      <c r="P171" s="1633"/>
      <c r="AH171" s="1640">
        <v>0</v>
      </c>
    </row>
    <row s="1644" customFormat="1" customHeight="1" ht="18.75" hidden="1">
      <c r="A172" s="1789" t="s">
        <v>278</v>
      </c>
      <c r="B172" s="1789" t="s">
        <v>279</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379</v>
      </c>
      <c r="M172" s="350"/>
      <c r="N172" s="343"/>
      <c r="O172" s="1633"/>
      <c r="P172" s="1633"/>
      <c r="AH172" s="1640">
        <v>0</v>
      </c>
    </row>
    <row s="1644" customFormat="1" customHeight="1" ht="18.75" hidden="1">
      <c r="A173" s="1789"/>
      <c r="B173" s="1789"/>
      <c r="C173" s="378" t="s">
        <v>1249</v>
      </c>
      <c r="D173" s="2471"/>
      <c r="E173" s="2213"/>
      <c r="F173" s="2392"/>
      <c r="G173" s="2436"/>
      <c r="H173" s="1509"/>
      <c r="I173" s="660" t="s">
        <v>1248</v>
      </c>
      <c r="J173" s="580"/>
      <c r="K173" s="1509"/>
      <c r="L173" s="223"/>
      <c r="M173" s="350"/>
      <c r="N173" s="343"/>
      <c r="O173" s="1633"/>
      <c r="P173" s="1633"/>
      <c r="AH173" s="1640">
        <v>0</v>
      </c>
    </row>
    <row s="1644" customFormat="1" customHeight="1" ht="0.75" hidden="1">
      <c r="A174" s="1789"/>
      <c r="B174" s="1789"/>
      <c r="C174" s="378" t="s">
        <v>1256</v>
      </c>
      <c r="D174" s="2471"/>
      <c r="E174" s="2213"/>
      <c r="F174" s="2392"/>
      <c r="G174" s="409"/>
      <c r="H174" s="1509"/>
      <c r="I174" s="660"/>
      <c r="J174" s="580"/>
      <c r="K174" s="1509"/>
      <c r="L174" s="223"/>
      <c r="M174" s="350"/>
      <c r="N174" s="343"/>
      <c r="O174" s="1633"/>
      <c r="P174" s="1633"/>
      <c r="AH174" s="1640">
        <v>0</v>
      </c>
    </row>
    <row s="1644" customFormat="1" customHeight="1" ht="18.75" hidden="1">
      <c r="A175" s="1789" t="s">
        <v>298</v>
      </c>
      <c r="B175" s="1789" t="s">
        <v>299</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379</v>
      </c>
      <c r="M175" s="350"/>
      <c r="N175" s="343"/>
      <c r="O175" s="1633"/>
      <c r="P175" s="1633"/>
      <c r="AH175" s="1640">
        <v>0</v>
      </c>
    </row>
    <row s="1644" customFormat="1" customHeight="1" ht="18.75" hidden="1">
      <c r="A176" s="1789"/>
      <c r="B176" s="1789"/>
      <c r="C176" s="378" t="s">
        <v>1249</v>
      </c>
      <c r="D176" s="2471"/>
      <c r="E176" s="2213"/>
      <c r="F176" s="2392"/>
      <c r="G176" s="2436"/>
      <c r="H176" s="1509"/>
      <c r="I176" s="660" t="s">
        <v>1248</v>
      </c>
      <c r="J176" s="580"/>
      <c r="K176" s="1509"/>
      <c r="L176" s="223"/>
      <c r="M176" s="350"/>
      <c r="N176" s="343"/>
      <c r="O176" s="1633"/>
      <c r="P176" s="1633"/>
      <c r="AH176" s="1640">
        <v>0</v>
      </c>
    </row>
    <row s="1644" customFormat="1" customHeight="1" ht="0.75" hidden="1">
      <c r="A177" s="1789"/>
      <c r="B177" s="1789"/>
      <c r="C177" s="378" t="s">
        <v>1256</v>
      </c>
      <c r="D177" s="2471"/>
      <c r="E177" s="2213"/>
      <c r="F177" s="2392"/>
      <c r="G177" s="409"/>
      <c r="H177" s="1509"/>
      <c r="I177" s="660"/>
      <c r="J177" s="580"/>
      <c r="K177" s="1509"/>
      <c r="L177" s="223"/>
      <c r="M177" s="350"/>
      <c r="N177" s="343"/>
      <c r="O177" s="1633"/>
      <c r="P177" s="1633"/>
      <c r="AH177" s="1640">
        <v>0</v>
      </c>
    </row>
    <row s="1644" customFormat="1" customHeight="1" ht="18.75" hidden="1">
      <c r="A178" s="1789" t="s">
        <v>303</v>
      </c>
      <c r="B178" s="1789" t="s">
        <v>304</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379</v>
      </c>
      <c r="M178" s="350"/>
      <c r="N178" s="343"/>
      <c r="O178" s="1633"/>
      <c r="P178" s="1633"/>
      <c r="AH178" s="1640">
        <v>0</v>
      </c>
    </row>
    <row s="1644" customFormat="1" customHeight="1" ht="18.75" hidden="1">
      <c r="A179" s="1789"/>
      <c r="B179" s="1789"/>
      <c r="C179" s="378" t="s">
        <v>1249</v>
      </c>
      <c r="D179" s="2471"/>
      <c r="E179" s="2213"/>
      <c r="F179" s="2392"/>
      <c r="G179" s="2436"/>
      <c r="H179" s="1509"/>
      <c r="I179" s="660" t="s">
        <v>1248</v>
      </c>
      <c r="J179" s="580"/>
      <c r="K179" s="1509"/>
      <c r="L179" s="223"/>
      <c r="M179" s="350"/>
      <c r="N179" s="343"/>
      <c r="O179" s="1633"/>
      <c r="P179" s="1633"/>
      <c r="AH179" s="1640">
        <v>0</v>
      </c>
    </row>
    <row s="1644" customFormat="1" customHeight="1" ht="0.75" hidden="1">
      <c r="A180" s="1789"/>
      <c r="B180" s="1789"/>
      <c r="C180" s="378" t="s">
        <v>1256</v>
      </c>
      <c r="D180" s="2471"/>
      <c r="E180" s="2213"/>
      <c r="F180" s="2392"/>
      <c r="G180" s="409"/>
      <c r="H180" s="1509"/>
      <c r="I180" s="660"/>
      <c r="J180" s="580"/>
      <c r="K180" s="1509"/>
      <c r="L180" s="223"/>
      <c r="M180" s="350"/>
      <c r="N180" s="343"/>
      <c r="O180" s="1633"/>
      <c r="P180" s="1633"/>
      <c r="AH180" s="1640">
        <v>0</v>
      </c>
    </row>
    <row s="1644" customFormat="1" customHeight="1" ht="18.75" hidden="1">
      <c r="A181" s="1789" t="s">
        <v>308</v>
      </c>
      <c r="B181" s="1789" t="s">
        <v>309</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379</v>
      </c>
      <c r="M181" s="350"/>
      <c r="N181" s="343"/>
      <c r="O181" s="1633"/>
      <c r="P181" s="1633"/>
      <c r="AH181" s="1640">
        <v>0</v>
      </c>
    </row>
    <row s="1644" customFormat="1" customHeight="1" ht="18.75" hidden="1">
      <c r="A182" s="1789"/>
      <c r="B182" s="1789"/>
      <c r="C182" s="378" t="s">
        <v>1249</v>
      </c>
      <c r="D182" s="2471"/>
      <c r="E182" s="2213"/>
      <c r="F182" s="2392"/>
      <c r="G182" s="2436"/>
      <c r="H182" s="1509"/>
      <c r="I182" s="660" t="s">
        <v>1248</v>
      </c>
      <c r="J182" s="580"/>
      <c r="K182" s="1509"/>
      <c r="L182" s="223"/>
      <c r="M182" s="350"/>
      <c r="N182" s="343"/>
      <c r="O182" s="1633"/>
      <c r="P182" s="1633"/>
      <c r="AH182" s="1640">
        <v>0</v>
      </c>
    </row>
    <row s="1644" customFormat="1" customHeight="1" ht="0.75" hidden="1">
      <c r="A183" s="1789"/>
      <c r="B183" s="1789"/>
      <c r="C183" s="378" t="s">
        <v>1256</v>
      </c>
      <c r="D183" s="2471"/>
      <c r="E183" s="2213"/>
      <c r="F183" s="2392"/>
      <c r="G183" s="409"/>
      <c r="H183" s="1509"/>
      <c r="I183" s="660"/>
      <c r="J183" s="580"/>
      <c r="K183" s="1509"/>
      <c r="L183" s="223"/>
      <c r="M183" s="350"/>
      <c r="N183" s="343"/>
      <c r="O183" s="1633"/>
      <c r="P183" s="1633"/>
      <c r="AH183" s="1640">
        <v>0</v>
      </c>
    </row>
    <row s="1644" customFormat="1" customHeight="1" ht="18.75" hidden="1">
      <c r="A184" s="1789" t="s">
        <v>313</v>
      </c>
      <c r="B184" s="1789" t="s">
        <v>314</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379</v>
      </c>
      <c r="M184" s="350"/>
      <c r="N184" s="343"/>
      <c r="O184" s="1633"/>
      <c r="P184" s="1633"/>
      <c r="AH184" s="1640">
        <v>0</v>
      </c>
    </row>
    <row s="1644" customFormat="1" customHeight="1" ht="18.75" hidden="1">
      <c r="A185" s="1789"/>
      <c r="B185" s="1789"/>
      <c r="C185" s="378" t="s">
        <v>1249</v>
      </c>
      <c r="D185" s="2471"/>
      <c r="E185" s="2213"/>
      <c r="F185" s="2392"/>
      <c r="G185" s="2436"/>
      <c r="H185" s="1509"/>
      <c r="I185" s="660" t="s">
        <v>1248</v>
      </c>
      <c r="J185" s="580"/>
      <c r="K185" s="1509"/>
      <c r="L185" s="223"/>
      <c r="M185" s="350"/>
      <c r="N185" s="343"/>
      <c r="O185" s="1633"/>
      <c r="P185" s="1633"/>
      <c r="AH185" s="1640">
        <v>0</v>
      </c>
    </row>
    <row s="1644" customFormat="1" customHeight="1" ht="0.75" hidden="1">
      <c r="A186" s="1789"/>
      <c r="B186" s="1789"/>
      <c r="C186" s="378" t="s">
        <v>1256</v>
      </c>
      <c r="D186" s="2471"/>
      <c r="E186" s="2213"/>
      <c r="F186" s="2392"/>
      <c r="G186" s="409"/>
      <c r="H186" s="1509"/>
      <c r="I186" s="660"/>
      <c r="J186" s="580"/>
      <c r="K186" s="1509"/>
      <c r="L186" s="223"/>
      <c r="M186" s="350"/>
      <c r="N186" s="343"/>
      <c r="O186" s="1633"/>
      <c r="P186" s="1633"/>
      <c r="AH186" s="1640">
        <v>0</v>
      </c>
    </row>
    <row s="1644" customFormat="1" customHeight="1" ht="18.75" hidden="1">
      <c r="A187" s="1789" t="s">
        <v>318</v>
      </c>
      <c r="B187" s="1789" t="s">
        <v>319</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379</v>
      </c>
      <c r="M187" s="350"/>
      <c r="N187" s="343"/>
      <c r="O187" s="1633"/>
      <c r="P187" s="1633"/>
      <c r="AH187" s="1640">
        <v>0</v>
      </c>
    </row>
    <row s="1644" customFormat="1" customHeight="1" ht="18.75" hidden="1">
      <c r="A188" s="1789"/>
      <c r="B188" s="1789"/>
      <c r="C188" s="378" t="s">
        <v>1249</v>
      </c>
      <c r="D188" s="2471"/>
      <c r="E188" s="2213"/>
      <c r="F188" s="2392"/>
      <c r="G188" s="2436"/>
      <c r="H188" s="1509"/>
      <c r="I188" s="660" t="s">
        <v>1248</v>
      </c>
      <c r="J188" s="580"/>
      <c r="K188" s="1509"/>
      <c r="L188" s="223"/>
      <c r="M188" s="350"/>
      <c r="N188" s="343"/>
      <c r="O188" s="1633"/>
      <c r="P188" s="1633"/>
      <c r="AH188" s="1640">
        <v>0</v>
      </c>
    </row>
    <row s="1644" customFormat="1" customHeight="1" ht="0.75" hidden="1">
      <c r="A189" s="1789"/>
      <c r="B189" s="1789"/>
      <c r="C189" s="378" t="s">
        <v>1256</v>
      </c>
      <c r="D189" s="2471"/>
      <c r="E189" s="2213"/>
      <c r="F189" s="2392"/>
      <c r="G189" s="409"/>
      <c r="H189" s="1509"/>
      <c r="I189" s="660"/>
      <c r="J189" s="580"/>
      <c r="K189" s="1509"/>
      <c r="L189" s="223"/>
      <c r="M189" s="350"/>
      <c r="N189" s="343"/>
      <c r="O189" s="1633"/>
      <c r="P189" s="1633"/>
      <c r="AH189" s="1640">
        <v>0</v>
      </c>
    </row>
    <row s="1644" customFormat="1" customHeight="1" ht="18.75" hidden="1">
      <c r="A190" s="1789" t="s">
        <v>323</v>
      </c>
      <c r="B190" s="1789" t="s">
        <v>324</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379</v>
      </c>
      <c r="M190" s="350"/>
      <c r="N190" s="343"/>
      <c r="O190" s="1633"/>
      <c r="P190" s="1633"/>
      <c r="AH190" s="1640">
        <v>0</v>
      </c>
    </row>
    <row s="1644" customFormat="1" customHeight="1" ht="18.75" hidden="1">
      <c r="A191" s="1789"/>
      <c r="B191" s="1789"/>
      <c r="C191" s="378" t="s">
        <v>1249</v>
      </c>
      <c r="D191" s="2471"/>
      <c r="E191" s="2213"/>
      <c r="F191" s="2392"/>
      <c r="G191" s="2436"/>
      <c r="H191" s="1509"/>
      <c r="I191" s="660" t="s">
        <v>1248</v>
      </c>
      <c r="J191" s="580"/>
      <c r="K191" s="1509"/>
      <c r="L191" s="223"/>
      <c r="M191" s="350"/>
      <c r="N191" s="343"/>
      <c r="O191" s="1633"/>
      <c r="P191" s="1633"/>
      <c r="AH191" s="1640">
        <v>0</v>
      </c>
    </row>
    <row s="1644" customFormat="1" customHeight="1" ht="0.75" hidden="1">
      <c r="A192" s="1789"/>
      <c r="B192" s="1789"/>
      <c r="C192" s="378" t="s">
        <v>1256</v>
      </c>
      <c r="D192" s="2471"/>
      <c r="E192" s="2213"/>
      <c r="F192" s="2392"/>
      <c r="G192" s="409"/>
      <c r="H192" s="1509"/>
      <c r="I192" s="660"/>
      <c r="J192" s="580"/>
      <c r="K192" s="1509"/>
      <c r="L192" s="223"/>
      <c r="M192" s="350"/>
      <c r="N192" s="343"/>
      <c r="O192" s="1633"/>
      <c r="P192" s="1633"/>
      <c r="AH192" s="1640">
        <v>0</v>
      </c>
    </row>
    <row s="1644" customFormat="1" customHeight="1" ht="18.75" hidden="1">
      <c r="A193" s="1789" t="s">
        <v>328</v>
      </c>
      <c r="B193" s="1789" t="s">
        <v>329</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379</v>
      </c>
      <c r="M193" s="350"/>
      <c r="N193" s="343"/>
      <c r="O193" s="1633"/>
      <c r="P193" s="1633"/>
      <c r="AH193" s="1640">
        <v>0</v>
      </c>
    </row>
    <row s="1644" customFormat="1" customHeight="1" ht="18.75" hidden="1">
      <c r="A194" s="1789"/>
      <c r="B194" s="1789"/>
      <c r="C194" s="378" t="s">
        <v>1249</v>
      </c>
      <c r="D194" s="2471"/>
      <c r="E194" s="2213"/>
      <c r="F194" s="2392"/>
      <c r="G194" s="2436"/>
      <c r="H194" s="1509"/>
      <c r="I194" s="660" t="s">
        <v>1248</v>
      </c>
      <c r="J194" s="580"/>
      <c r="K194" s="1509"/>
      <c r="L194" s="223"/>
      <c r="M194" s="350"/>
      <c r="N194" s="343"/>
      <c r="O194" s="1633"/>
      <c r="P194" s="1633"/>
      <c r="AH194" s="1640">
        <v>0</v>
      </c>
    </row>
    <row s="1644" customFormat="1" customHeight="1" ht="0.75" hidden="1">
      <c r="A195" s="1789"/>
      <c r="B195" s="1789"/>
      <c r="C195" s="378" t="s">
        <v>1256</v>
      </c>
      <c r="D195" s="2471"/>
      <c r="E195" s="2213"/>
      <c r="F195" s="2392"/>
      <c r="G195" s="409"/>
      <c r="H195" s="1509"/>
      <c r="I195" s="660"/>
      <c r="J195" s="580"/>
      <c r="K195" s="1509"/>
      <c r="L195" s="223"/>
      <c r="M195" s="350"/>
      <c r="N195" s="343"/>
      <c r="O195" s="1633"/>
      <c r="P195" s="1633"/>
      <c r="AH195" s="1640">
        <v>0</v>
      </c>
    </row>
    <row s="1644" customFormat="1" customHeight="1" ht="18.75" hidden="1">
      <c r="A196" s="1789" t="s">
        <v>333</v>
      </c>
      <c r="B196" s="1789" t="s">
        <v>334</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379</v>
      </c>
      <c r="M196" s="350"/>
      <c r="N196" s="343"/>
      <c r="O196" s="1633"/>
      <c r="P196" s="1633"/>
      <c r="AH196" s="1640">
        <v>0</v>
      </c>
    </row>
    <row s="1644" customFormat="1" customHeight="1" ht="18.75" hidden="1">
      <c r="A197" s="1789"/>
      <c r="B197" s="1789"/>
      <c r="C197" s="378" t="s">
        <v>1249</v>
      </c>
      <c r="D197" s="2471"/>
      <c r="E197" s="2213"/>
      <c r="F197" s="2392"/>
      <c r="G197" s="2436"/>
      <c r="H197" s="1509"/>
      <c r="I197" s="660" t="s">
        <v>1248</v>
      </c>
      <c r="J197" s="580"/>
      <c r="K197" s="1509"/>
      <c r="L197" s="223"/>
      <c r="M197" s="350"/>
      <c r="N197" s="343"/>
      <c r="O197" s="1633"/>
      <c r="P197" s="1633"/>
      <c r="AH197" s="1640">
        <v>0</v>
      </c>
    </row>
    <row s="1644" customFormat="1" customHeight="1" ht="0.75" hidden="1">
      <c r="A198" s="1789"/>
      <c r="B198" s="1789"/>
      <c r="C198" s="378" t="s">
        <v>1256</v>
      </c>
      <c r="D198" s="2471"/>
      <c r="E198" s="2213"/>
      <c r="F198" s="2392"/>
      <c r="G198" s="409"/>
      <c r="H198" s="1509"/>
      <c r="I198" s="660"/>
      <c r="J198" s="580"/>
      <c r="K198" s="1509"/>
      <c r="L198" s="223"/>
      <c r="M198" s="350"/>
      <c r="N198" s="343"/>
      <c r="O198" s="1633"/>
      <c r="P198" s="1633"/>
      <c r="AH198" s="1640">
        <v>0</v>
      </c>
    </row>
    <row s="1644" customFormat="1" customHeight="1" ht="18.75" hidden="1">
      <c r="A199" s="1789" t="s">
        <v>338</v>
      </c>
      <c r="B199" s="1789" t="s">
        <v>339</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379</v>
      </c>
      <c r="M199" s="350"/>
      <c r="N199" s="343"/>
      <c r="O199" s="1633"/>
      <c r="P199" s="1633"/>
      <c r="AH199" s="1640">
        <v>0</v>
      </c>
    </row>
    <row s="1644" customFormat="1" customHeight="1" ht="18.75" hidden="1">
      <c r="A200" s="1789"/>
      <c r="B200" s="1789"/>
      <c r="C200" s="378" t="s">
        <v>1249</v>
      </c>
      <c r="D200" s="2471"/>
      <c r="E200" s="2213"/>
      <c r="F200" s="2392"/>
      <c r="G200" s="2436"/>
      <c r="H200" s="1509"/>
      <c r="I200" s="660" t="s">
        <v>1248</v>
      </c>
      <c r="J200" s="580"/>
      <c r="K200" s="1509"/>
      <c r="L200" s="223"/>
      <c r="M200" s="350"/>
      <c r="N200" s="343"/>
      <c r="O200" s="1633"/>
      <c r="P200" s="1633"/>
      <c r="AH200" s="1640">
        <v>0</v>
      </c>
    </row>
    <row s="1644" customFormat="1" customHeight="1" ht="0.75" hidden="1">
      <c r="A201" s="1789"/>
      <c r="B201" s="1789"/>
      <c r="C201" s="378" t="s">
        <v>1256</v>
      </c>
      <c r="D201" s="2471"/>
      <c r="E201" s="2213"/>
      <c r="F201" s="2392"/>
      <c r="G201" s="409"/>
      <c r="H201" s="1509"/>
      <c r="I201" s="660"/>
      <c r="J201" s="580"/>
      <c r="K201" s="1509"/>
      <c r="L201" s="223"/>
      <c r="M201" s="350"/>
      <c r="N201" s="343"/>
      <c r="O201" s="1633"/>
      <c r="P201" s="1633"/>
      <c r="AH201" s="1640">
        <v>0</v>
      </c>
    </row>
    <row s="1644" customFormat="1" customHeight="1" ht="18.75" hidden="1">
      <c r="A202" s="1789" t="s">
        <v>343</v>
      </c>
      <c r="B202" s="1789" t="s">
        <v>344</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379</v>
      </c>
      <c r="M202" s="350"/>
      <c r="N202" s="343"/>
      <c r="O202" s="1633"/>
      <c r="P202" s="1633"/>
      <c r="AH202" s="1640">
        <v>0</v>
      </c>
    </row>
    <row s="1644" customFormat="1" customHeight="1" ht="18.75" hidden="1">
      <c r="A203" s="1789"/>
      <c r="B203" s="1789"/>
      <c r="C203" s="378" t="s">
        <v>1249</v>
      </c>
      <c r="D203" s="2471"/>
      <c r="E203" s="2213"/>
      <c r="F203" s="2392"/>
      <c r="G203" s="2436"/>
      <c r="H203" s="1509"/>
      <c r="I203" s="660" t="s">
        <v>1248</v>
      </c>
      <c r="J203" s="580"/>
      <c r="K203" s="1509"/>
      <c r="L203" s="223"/>
      <c r="M203" s="350"/>
      <c r="N203" s="343"/>
      <c r="O203" s="1633"/>
      <c r="P203" s="1633"/>
      <c r="AH203" s="1640">
        <v>0</v>
      </c>
    </row>
    <row s="1644" customFormat="1" customHeight="1" ht="0.75" hidden="1">
      <c r="A204" s="1789"/>
      <c r="B204" s="1789"/>
      <c r="C204" s="378" t="s">
        <v>1256</v>
      </c>
      <c r="D204" s="2471"/>
      <c r="E204" s="2213"/>
      <c r="F204" s="2392"/>
      <c r="G204" s="409"/>
      <c r="H204" s="1509"/>
      <c r="I204" s="660"/>
      <c r="J204" s="580"/>
      <c r="K204" s="1509"/>
      <c r="L204" s="223"/>
      <c r="M204" s="350"/>
      <c r="N204" s="343"/>
      <c r="O204" s="1633"/>
      <c r="P204" s="1633"/>
      <c r="AH204" s="1640">
        <v>0</v>
      </c>
    </row>
    <row s="1644" customFormat="1" customHeight="1" ht="18.75" hidden="1">
      <c r="A205" s="1789" t="s">
        <v>348</v>
      </c>
      <c r="B205" s="1789" t="s">
        <v>349</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379</v>
      </c>
      <c r="M205" s="350"/>
      <c r="N205" s="343"/>
      <c r="O205" s="1633"/>
      <c r="P205" s="1633"/>
      <c r="AH205" s="1640">
        <v>0</v>
      </c>
    </row>
    <row s="1644" customFormat="1" customHeight="1" ht="18.75" hidden="1">
      <c r="A206" s="1789"/>
      <c r="B206" s="1789"/>
      <c r="C206" s="378" t="s">
        <v>1249</v>
      </c>
      <c r="D206" s="2471"/>
      <c r="E206" s="2213"/>
      <c r="F206" s="2392"/>
      <c r="G206" s="2436"/>
      <c r="H206" s="1509"/>
      <c r="I206" s="660" t="s">
        <v>1248</v>
      </c>
      <c r="J206" s="580"/>
      <c r="K206" s="1509"/>
      <c r="L206" s="223"/>
      <c r="M206" s="350"/>
      <c r="N206" s="343"/>
      <c r="O206" s="1633"/>
      <c r="P206" s="1633"/>
      <c r="AH206" s="1640">
        <v>0</v>
      </c>
    </row>
    <row s="1644" customFormat="1" customHeight="1" ht="1.05">
      <c r="A207" s="1789"/>
      <c r="B207" s="1789"/>
      <c r="C207" s="378" t="s">
        <v>1256</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111</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9"/>
      <c r="H208" s="2469"/>
      <c r="I208" s="2469"/>
      <c r="J208" s="2469"/>
      <c r="K208" s="2469"/>
      <c r="L208" s="2469"/>
      <c r="M208" s="306"/>
      <c r="N208" s="343"/>
      <c r="AH208" s="383">
        <v>26</v>
      </c>
    </row>
    <row s="1644" customFormat="1" customHeight="1" ht="60.75" hidden="1">
      <c r="A209" s="1789" t="s">
        <v>230</v>
      </c>
      <c r="B209" s="1789" t="s">
        <v>231</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379</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1249</v>
      </c>
      <c r="D210" s="2471"/>
      <c r="E210" s="2213"/>
      <c r="F210" s="2392"/>
      <c r="G210" s="2436"/>
      <c r="H210" s="1509"/>
      <c r="I210" s="660" t="s">
        <v>1248</v>
      </c>
      <c r="J210" s="580"/>
      <c r="K210" s="1509"/>
      <c r="L210" s="223"/>
      <c r="M210" s="2179"/>
      <c r="N210" s="343"/>
      <c r="O210" s="1633"/>
      <c r="P210" s="1633"/>
      <c r="AH210" s="1640">
        <v>0</v>
      </c>
    </row>
    <row s="1644" customFormat="1" customHeight="1" ht="0.75" hidden="1">
      <c r="A211" s="1789"/>
      <c r="B211" s="1789"/>
      <c r="C211" s="378" t="s">
        <v>1256</v>
      </c>
      <c r="D211" s="2471"/>
      <c r="E211" s="2213"/>
      <c r="F211" s="2392"/>
      <c r="G211" s="409"/>
      <c r="H211" s="1509"/>
      <c r="I211" s="660"/>
      <c r="J211" s="580"/>
      <c r="K211" s="1509"/>
      <c r="L211" s="223"/>
      <c r="M211" s="2179"/>
      <c r="N211" s="343"/>
      <c r="O211" s="1633"/>
      <c r="P211" s="1633"/>
      <c r="AH211" s="1640">
        <v>0</v>
      </c>
    </row>
    <row s="1644" customFormat="1" customHeight="1" ht="45" hidden="1">
      <c r="A212" s="1789" t="s">
        <v>235</v>
      </c>
      <c r="B212" s="1789" t="s">
        <v>236</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379</v>
      </c>
      <c r="M212" s="2180"/>
      <c r="N212" s="343"/>
      <c r="O212" s="1633"/>
      <c r="P212" s="1633"/>
      <c r="AH212" s="1640">
        <v>0</v>
      </c>
    </row>
    <row s="1644" customFormat="1" customHeight="1" ht="18.75" hidden="1">
      <c r="A213" s="1789"/>
      <c r="B213" s="1789"/>
      <c r="C213" s="378" t="s">
        <v>1249</v>
      </c>
      <c r="D213" s="2471"/>
      <c r="E213" s="2213"/>
      <c r="F213" s="2392"/>
      <c r="G213" s="2436"/>
      <c r="H213" s="1509"/>
      <c r="I213" s="660" t="s">
        <v>1248</v>
      </c>
      <c r="J213" s="580"/>
      <c r="K213" s="1509"/>
      <c r="L213" s="223"/>
      <c r="M213" s="1870"/>
      <c r="N213" s="343"/>
      <c r="O213" s="1633"/>
      <c r="P213" s="1633"/>
      <c r="AH213" s="1640">
        <v>0</v>
      </c>
    </row>
    <row s="1644" customFormat="1" customHeight="1" ht="0.75" hidden="1">
      <c r="A214" s="1789"/>
      <c r="B214" s="1789"/>
      <c r="C214" s="378" t="s">
        <v>1256</v>
      </c>
      <c r="D214" s="2471"/>
      <c r="E214" s="2213"/>
      <c r="F214" s="2392"/>
      <c r="G214" s="409"/>
      <c r="H214" s="1509"/>
      <c r="I214" s="660"/>
      <c r="J214" s="580"/>
      <c r="K214" s="1509"/>
      <c r="L214" s="223"/>
      <c r="M214" s="350"/>
      <c r="N214" s="343"/>
      <c r="O214" s="1633"/>
      <c r="P214" s="1633"/>
      <c r="AH214" s="1640">
        <v>0</v>
      </c>
    </row>
    <row s="1644" customFormat="1" customHeight="1" ht="45" hidden="1">
      <c r="A215" s="1789" t="s">
        <v>242</v>
      </c>
      <c r="B215" s="1789" t="s">
        <v>243</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379</v>
      </c>
      <c r="M215" s="350"/>
      <c r="N215" s="343"/>
      <c r="O215" s="1633"/>
      <c r="P215" s="1633"/>
      <c r="AH215" s="1640">
        <v>0</v>
      </c>
    </row>
    <row s="1644" customFormat="1" customHeight="1" ht="18.75" hidden="1">
      <c r="A216" s="1789"/>
      <c r="B216" s="1789"/>
      <c r="C216" s="378" t="s">
        <v>1249</v>
      </c>
      <c r="D216" s="2471"/>
      <c r="E216" s="2213"/>
      <c r="F216" s="2392"/>
      <c r="G216" s="2436"/>
      <c r="H216" s="1509"/>
      <c r="I216" s="660" t="s">
        <v>1248</v>
      </c>
      <c r="J216" s="580"/>
      <c r="K216" s="1509"/>
      <c r="L216" s="223"/>
      <c r="M216" s="350"/>
      <c r="N216" s="343"/>
      <c r="O216" s="1633"/>
      <c r="P216" s="1633"/>
      <c r="AH216" s="1640">
        <v>0</v>
      </c>
    </row>
    <row s="1644" customFormat="1" customHeight="1" ht="0.75" hidden="1">
      <c r="A217" s="1789"/>
      <c r="B217" s="1789"/>
      <c r="C217" s="378" t="s">
        <v>1256</v>
      </c>
      <c r="D217" s="2471"/>
      <c r="E217" s="2213"/>
      <c r="F217" s="2392"/>
      <c r="G217" s="409"/>
      <c r="H217" s="1509"/>
      <c r="I217" s="660"/>
      <c r="J217" s="580"/>
      <c r="K217" s="1509"/>
      <c r="L217" s="223"/>
      <c r="M217" s="350"/>
      <c r="N217" s="343"/>
      <c r="O217" s="1633"/>
      <c r="P217" s="1633"/>
      <c r="AH217" s="1640">
        <v>0</v>
      </c>
    </row>
    <row s="1644" customFormat="1" customHeight="1" ht="45" hidden="1">
      <c r="A218" s="1789" t="s">
        <v>248</v>
      </c>
      <c r="B218" s="1789" t="s">
        <v>249</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379</v>
      </c>
      <c r="M218" s="350"/>
      <c r="N218" s="343"/>
      <c r="O218" s="1633"/>
      <c r="P218" s="1633"/>
      <c r="AH218" s="1640">
        <v>0</v>
      </c>
    </row>
    <row s="1644" customFormat="1" customHeight="1" ht="18.75" hidden="1">
      <c r="A219" s="1789"/>
      <c r="B219" s="1789"/>
      <c r="C219" s="378" t="s">
        <v>1249</v>
      </c>
      <c r="D219" s="2471"/>
      <c r="E219" s="2213"/>
      <c r="F219" s="2392"/>
      <c r="G219" s="2436"/>
      <c r="H219" s="1509"/>
      <c r="I219" s="660" t="s">
        <v>1248</v>
      </c>
      <c r="J219" s="580"/>
      <c r="K219" s="1509"/>
      <c r="L219" s="223"/>
      <c r="M219" s="350"/>
      <c r="N219" s="343"/>
      <c r="O219" s="1633"/>
      <c r="P219" s="1633"/>
      <c r="AH219" s="1640">
        <v>0</v>
      </c>
    </row>
    <row s="1644" customFormat="1" customHeight="1" ht="0.75" hidden="1">
      <c r="A220" s="1789"/>
      <c r="B220" s="1789"/>
      <c r="C220" s="378" t="s">
        <v>1256</v>
      </c>
      <c r="D220" s="2471"/>
      <c r="E220" s="2213"/>
      <c r="F220" s="2392"/>
      <c r="G220" s="409"/>
      <c r="H220" s="1509"/>
      <c r="I220" s="660"/>
      <c r="J220" s="580"/>
      <c r="K220" s="1509"/>
      <c r="L220" s="223"/>
      <c r="M220" s="350"/>
      <c r="N220" s="343"/>
      <c r="O220" s="1633"/>
      <c r="P220" s="1633"/>
      <c r="AH220" s="1640">
        <v>0</v>
      </c>
    </row>
    <row s="1644" customFormat="1" customHeight="1" ht="18.75" hidden="1">
      <c r="A221" s="1789" t="s">
        <v>254</v>
      </c>
      <c r="B221" s="1789" t="s">
        <v>255</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379</v>
      </c>
      <c r="M221" s="350"/>
      <c r="N221" s="343"/>
      <c r="O221" s="1633"/>
      <c r="P221" s="1633"/>
      <c r="AH221" s="1640">
        <v>0</v>
      </c>
    </row>
    <row s="1644" customFormat="1" customHeight="1" ht="18.75" hidden="1">
      <c r="A222" s="1789"/>
      <c r="B222" s="1789"/>
      <c r="C222" s="378" t="s">
        <v>1249</v>
      </c>
      <c r="D222" s="2471"/>
      <c r="E222" s="2213"/>
      <c r="F222" s="2392"/>
      <c r="G222" s="2436"/>
      <c r="H222" s="1509"/>
      <c r="I222" s="660" t="s">
        <v>1248</v>
      </c>
      <c r="J222" s="580"/>
      <c r="K222" s="1509"/>
      <c r="L222" s="223"/>
      <c r="M222" s="350"/>
      <c r="N222" s="343"/>
      <c r="O222" s="1633"/>
      <c r="P222" s="1633"/>
      <c r="AH222" s="1640">
        <v>0</v>
      </c>
    </row>
    <row s="1644" customFormat="1" customHeight="1" ht="0.75" hidden="1">
      <c r="A223" s="1789"/>
      <c r="B223" s="1789"/>
      <c r="C223" s="378" t="s">
        <v>1256</v>
      </c>
      <c r="D223" s="2471"/>
      <c r="E223" s="2213"/>
      <c r="F223" s="2392"/>
      <c r="G223" s="409"/>
      <c r="H223" s="1509"/>
      <c r="I223" s="660"/>
      <c r="J223" s="580"/>
      <c r="K223" s="1509"/>
      <c r="L223" s="223"/>
      <c r="M223" s="350"/>
      <c r="N223" s="343"/>
      <c r="O223" s="1633"/>
      <c r="P223" s="1633"/>
      <c r="AH223" s="1640">
        <v>0</v>
      </c>
    </row>
    <row s="1644" customFormat="1" customHeight="1" ht="18.75" hidden="1">
      <c r="A224" s="1789" t="s">
        <v>260</v>
      </c>
      <c r="B224" s="1789" t="s">
        <v>261</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379</v>
      </c>
      <c r="M224" s="350"/>
      <c r="N224" s="343"/>
      <c r="O224" s="1633"/>
      <c r="P224" s="1633"/>
      <c r="AH224" s="1640">
        <v>0</v>
      </c>
    </row>
    <row s="1644" customFormat="1" customHeight="1" ht="18.75" hidden="1">
      <c r="A225" s="1789"/>
      <c r="B225" s="1789"/>
      <c r="C225" s="378" t="s">
        <v>1249</v>
      </c>
      <c r="D225" s="2471"/>
      <c r="E225" s="2213"/>
      <c r="F225" s="2392"/>
      <c r="G225" s="2436"/>
      <c r="H225" s="1509"/>
      <c r="I225" s="660" t="s">
        <v>1248</v>
      </c>
      <c r="J225" s="580"/>
      <c r="K225" s="1509"/>
      <c r="L225" s="223"/>
      <c r="M225" s="350"/>
      <c r="N225" s="343"/>
      <c r="O225" s="1633"/>
      <c r="P225" s="1633"/>
      <c r="AH225" s="1640">
        <v>0</v>
      </c>
    </row>
    <row s="1644" customFormat="1" customHeight="1" ht="0.75" hidden="1">
      <c r="A226" s="1789"/>
      <c r="B226" s="1789"/>
      <c r="C226" s="378" t="s">
        <v>1256</v>
      </c>
      <c r="D226" s="2471"/>
      <c r="E226" s="2213"/>
      <c r="F226" s="2392"/>
      <c r="G226" s="409"/>
      <c r="H226" s="1509"/>
      <c r="I226" s="660"/>
      <c r="J226" s="580"/>
      <c r="K226" s="1509"/>
      <c r="L226" s="223"/>
      <c r="M226" s="350"/>
      <c r="N226" s="343"/>
      <c r="O226" s="1633"/>
      <c r="P226" s="1633"/>
      <c r="AH226" s="1640">
        <v>0</v>
      </c>
    </row>
    <row s="1644" customFormat="1" customHeight="1" ht="18.75" hidden="1">
      <c r="A227" s="1789" t="s">
        <v>266</v>
      </c>
      <c r="B227" s="1789" t="s">
        <v>267</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379</v>
      </c>
      <c r="M227" s="350"/>
      <c r="N227" s="343"/>
      <c r="O227" s="1633"/>
      <c r="P227" s="1633"/>
      <c r="AH227" s="1640">
        <v>0</v>
      </c>
    </row>
    <row s="1644" customFormat="1" customHeight="1" ht="18.75" hidden="1">
      <c r="A228" s="1789"/>
      <c r="B228" s="1789"/>
      <c r="C228" s="378" t="s">
        <v>1249</v>
      </c>
      <c r="D228" s="2471"/>
      <c r="E228" s="2213"/>
      <c r="F228" s="2392"/>
      <c r="G228" s="2436"/>
      <c r="H228" s="1509"/>
      <c r="I228" s="660" t="s">
        <v>1248</v>
      </c>
      <c r="J228" s="580"/>
      <c r="K228" s="1509"/>
      <c r="L228" s="223"/>
      <c r="M228" s="350"/>
      <c r="N228" s="343"/>
      <c r="O228" s="1633"/>
      <c r="P228" s="1633"/>
      <c r="AH228" s="1640">
        <v>0</v>
      </c>
    </row>
    <row s="1644" customFormat="1" customHeight="1" ht="0.75" hidden="1">
      <c r="A229" s="1789"/>
      <c r="B229" s="1789"/>
      <c r="C229" s="378" t="s">
        <v>1256</v>
      </c>
      <c r="D229" s="2471"/>
      <c r="E229" s="2213"/>
      <c r="F229" s="2392"/>
      <c r="G229" s="409"/>
      <c r="H229" s="1509"/>
      <c r="I229" s="660"/>
      <c r="J229" s="580"/>
      <c r="K229" s="1509"/>
      <c r="L229" s="223"/>
      <c r="M229" s="350"/>
      <c r="N229" s="343"/>
      <c r="O229" s="1633"/>
      <c r="P229" s="1633"/>
      <c r="AH229" s="1640">
        <v>0</v>
      </c>
    </row>
    <row s="1644" customFormat="1" customHeight="1" ht="18.75" hidden="1">
      <c r="A230" s="1789" t="s">
        <v>272</v>
      </c>
      <c r="B230" s="1789" t="s">
        <v>273</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379</v>
      </c>
      <c r="M230" s="350"/>
      <c r="N230" s="343"/>
      <c r="O230" s="1633"/>
      <c r="P230" s="1633"/>
      <c r="AH230" s="1640">
        <v>0</v>
      </c>
    </row>
    <row s="1644" customFormat="1" customHeight="1" ht="18.75" hidden="1">
      <c r="A231" s="1789"/>
      <c r="B231" s="1789"/>
      <c r="C231" s="378" t="s">
        <v>1249</v>
      </c>
      <c r="D231" s="2471"/>
      <c r="E231" s="2213"/>
      <c r="F231" s="2392"/>
      <c r="G231" s="2436"/>
      <c r="H231" s="1509"/>
      <c r="I231" s="660" t="s">
        <v>1248</v>
      </c>
      <c r="J231" s="580"/>
      <c r="K231" s="1509"/>
      <c r="L231" s="223"/>
      <c r="M231" s="350"/>
      <c r="N231" s="343"/>
      <c r="O231" s="1633"/>
      <c r="P231" s="1633"/>
      <c r="AH231" s="1640">
        <v>0</v>
      </c>
    </row>
    <row s="1644" customFormat="1" customHeight="1" ht="0.75" hidden="1">
      <c r="A232" s="1789"/>
      <c r="B232" s="1789"/>
      <c r="C232" s="378" t="s">
        <v>1256</v>
      </c>
      <c r="D232" s="2471"/>
      <c r="E232" s="2213"/>
      <c r="F232" s="2392"/>
      <c r="G232" s="409"/>
      <c r="H232" s="1509"/>
      <c r="I232" s="660"/>
      <c r="J232" s="580"/>
      <c r="K232" s="1509"/>
      <c r="L232" s="223"/>
      <c r="M232" s="350"/>
      <c r="N232" s="343"/>
      <c r="O232" s="1633"/>
      <c r="P232" s="1633"/>
      <c r="AH232" s="1640">
        <v>0</v>
      </c>
    </row>
    <row s="1644" customFormat="1" customHeight="1" ht="18.75" hidden="1">
      <c r="A233" s="1789" t="s">
        <v>278</v>
      </c>
      <c r="B233" s="1789" t="s">
        <v>279</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379</v>
      </c>
      <c r="M233" s="350"/>
      <c r="N233" s="343"/>
      <c r="O233" s="1633"/>
      <c r="P233" s="1633"/>
      <c r="AH233" s="1640">
        <v>0</v>
      </c>
    </row>
    <row s="1644" customFormat="1" customHeight="1" ht="18.75" hidden="1">
      <c r="A234" s="1789"/>
      <c r="B234" s="1789"/>
      <c r="C234" s="378" t="s">
        <v>1249</v>
      </c>
      <c r="D234" s="2471"/>
      <c r="E234" s="2213"/>
      <c r="F234" s="2392"/>
      <c r="G234" s="2436"/>
      <c r="H234" s="1509"/>
      <c r="I234" s="660" t="s">
        <v>1248</v>
      </c>
      <c r="J234" s="580"/>
      <c r="K234" s="1509"/>
      <c r="L234" s="223"/>
      <c r="M234" s="350"/>
      <c r="N234" s="343"/>
      <c r="O234" s="1633"/>
      <c r="P234" s="1633"/>
      <c r="AH234" s="1640">
        <v>0</v>
      </c>
    </row>
    <row s="1644" customFormat="1" customHeight="1" ht="0.75" hidden="1">
      <c r="A235" s="1789"/>
      <c r="B235" s="1789"/>
      <c r="C235" s="378" t="s">
        <v>1256</v>
      </c>
      <c r="D235" s="2471"/>
      <c r="E235" s="2213"/>
      <c r="F235" s="2392"/>
      <c r="G235" s="409"/>
      <c r="H235" s="1509"/>
      <c r="I235" s="660"/>
      <c r="J235" s="580"/>
      <c r="K235" s="1509"/>
      <c r="L235" s="223"/>
      <c r="M235" s="350"/>
      <c r="N235" s="343"/>
      <c r="O235" s="1633"/>
      <c r="P235" s="1633"/>
      <c r="AH235" s="1640">
        <v>0</v>
      </c>
    </row>
    <row s="1644" customFormat="1" customHeight="1" ht="18.75" hidden="1">
      <c r="A236" s="1789" t="s">
        <v>298</v>
      </c>
      <c r="B236" s="1789" t="s">
        <v>299</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379</v>
      </c>
      <c r="M236" s="350"/>
      <c r="N236" s="343"/>
      <c r="O236" s="1633"/>
      <c r="P236" s="1633"/>
      <c r="AH236" s="1640">
        <v>0</v>
      </c>
    </row>
    <row s="1644" customFormat="1" customHeight="1" ht="18.75" hidden="1">
      <c r="A237" s="1789"/>
      <c r="B237" s="1789"/>
      <c r="C237" s="378" t="s">
        <v>1249</v>
      </c>
      <c r="D237" s="2471"/>
      <c r="E237" s="2213"/>
      <c r="F237" s="2392"/>
      <c r="G237" s="2436"/>
      <c r="H237" s="1509"/>
      <c r="I237" s="660" t="s">
        <v>1248</v>
      </c>
      <c r="J237" s="580"/>
      <c r="K237" s="1509"/>
      <c r="L237" s="223"/>
      <c r="M237" s="350"/>
      <c r="N237" s="343"/>
      <c r="O237" s="1633"/>
      <c r="P237" s="1633"/>
      <c r="AH237" s="1640">
        <v>0</v>
      </c>
    </row>
    <row s="1644" customFormat="1" customHeight="1" ht="0.75" hidden="1">
      <c r="A238" s="1789"/>
      <c r="B238" s="1789"/>
      <c r="C238" s="378" t="s">
        <v>1256</v>
      </c>
      <c r="D238" s="2471"/>
      <c r="E238" s="2213"/>
      <c r="F238" s="2392"/>
      <c r="G238" s="409"/>
      <c r="H238" s="1509"/>
      <c r="I238" s="660"/>
      <c r="J238" s="580"/>
      <c r="K238" s="1509"/>
      <c r="L238" s="223"/>
      <c r="M238" s="350"/>
      <c r="N238" s="343"/>
      <c r="O238" s="1633"/>
      <c r="P238" s="1633"/>
      <c r="AH238" s="1640">
        <v>0</v>
      </c>
    </row>
    <row s="1644" customFormat="1" customHeight="1" ht="18.75" hidden="1">
      <c r="A239" s="1789" t="s">
        <v>303</v>
      </c>
      <c r="B239" s="1789" t="s">
        <v>304</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379</v>
      </c>
      <c r="M239" s="350"/>
      <c r="N239" s="343"/>
      <c r="O239" s="1633"/>
      <c r="P239" s="1633"/>
      <c r="AH239" s="1640">
        <v>0</v>
      </c>
    </row>
    <row s="1644" customFormat="1" customHeight="1" ht="18.75" hidden="1">
      <c r="A240" s="1789"/>
      <c r="B240" s="1789"/>
      <c r="C240" s="378" t="s">
        <v>1249</v>
      </c>
      <c r="D240" s="2471"/>
      <c r="E240" s="2213"/>
      <c r="F240" s="2392"/>
      <c r="G240" s="2436"/>
      <c r="H240" s="1509"/>
      <c r="I240" s="660" t="s">
        <v>1248</v>
      </c>
      <c r="J240" s="580"/>
      <c r="K240" s="1509"/>
      <c r="L240" s="223"/>
      <c r="M240" s="350"/>
      <c r="N240" s="343"/>
      <c r="O240" s="1633"/>
      <c r="P240" s="1633"/>
      <c r="AH240" s="1640">
        <v>0</v>
      </c>
    </row>
    <row s="1644" customFormat="1" customHeight="1" ht="0.75" hidden="1">
      <c r="A241" s="1789"/>
      <c r="B241" s="1789"/>
      <c r="C241" s="378" t="s">
        <v>1256</v>
      </c>
      <c r="D241" s="2471"/>
      <c r="E241" s="2213"/>
      <c r="F241" s="2392"/>
      <c r="G241" s="409"/>
      <c r="H241" s="1509"/>
      <c r="I241" s="660"/>
      <c r="J241" s="580"/>
      <c r="K241" s="1509"/>
      <c r="L241" s="223"/>
      <c r="M241" s="350"/>
      <c r="N241" s="343"/>
      <c r="O241" s="1633"/>
      <c r="P241" s="1633"/>
      <c r="AH241" s="1640">
        <v>0</v>
      </c>
    </row>
    <row s="1644" customFormat="1" customHeight="1" ht="18.75" hidden="1">
      <c r="A242" s="1789" t="s">
        <v>308</v>
      </c>
      <c r="B242" s="1789" t="s">
        <v>309</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379</v>
      </c>
      <c r="M242" s="350"/>
      <c r="N242" s="343"/>
      <c r="O242" s="1633"/>
      <c r="P242" s="1633"/>
      <c r="AH242" s="1640">
        <v>0</v>
      </c>
    </row>
    <row s="1644" customFormat="1" customHeight="1" ht="18.75" hidden="1">
      <c r="A243" s="1789"/>
      <c r="B243" s="1789"/>
      <c r="C243" s="378" t="s">
        <v>1249</v>
      </c>
      <c r="D243" s="2471"/>
      <c r="E243" s="2213"/>
      <c r="F243" s="2392"/>
      <c r="G243" s="2436"/>
      <c r="H243" s="1509"/>
      <c r="I243" s="660" t="s">
        <v>1248</v>
      </c>
      <c r="J243" s="580"/>
      <c r="K243" s="1509"/>
      <c r="L243" s="223"/>
      <c r="M243" s="350"/>
      <c r="N243" s="343"/>
      <c r="O243" s="1633"/>
      <c r="P243" s="1633"/>
      <c r="AH243" s="1640">
        <v>0</v>
      </c>
    </row>
    <row s="1644" customFormat="1" customHeight="1" ht="0.75" hidden="1">
      <c r="A244" s="1789"/>
      <c r="B244" s="1789"/>
      <c r="C244" s="378" t="s">
        <v>1256</v>
      </c>
      <c r="D244" s="2471"/>
      <c r="E244" s="2213"/>
      <c r="F244" s="2392"/>
      <c r="G244" s="409"/>
      <c r="H244" s="1509"/>
      <c r="I244" s="660"/>
      <c r="J244" s="580"/>
      <c r="K244" s="1509"/>
      <c r="L244" s="223"/>
      <c r="M244" s="350"/>
      <c r="N244" s="343"/>
      <c r="O244" s="1633"/>
      <c r="P244" s="1633"/>
      <c r="AH244" s="1640">
        <v>0</v>
      </c>
    </row>
    <row s="1644" customFormat="1" customHeight="1" ht="18.75" hidden="1">
      <c r="A245" s="1789" t="s">
        <v>313</v>
      </c>
      <c r="B245" s="1789" t="s">
        <v>314</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379</v>
      </c>
      <c r="M245" s="350"/>
      <c r="N245" s="343"/>
      <c r="O245" s="1633"/>
      <c r="P245" s="1633"/>
      <c r="AH245" s="1640">
        <v>0</v>
      </c>
    </row>
    <row s="1644" customFormat="1" customHeight="1" ht="18.75" hidden="1">
      <c r="A246" s="1789"/>
      <c r="B246" s="1789"/>
      <c r="C246" s="378" t="s">
        <v>1249</v>
      </c>
      <c r="D246" s="2471"/>
      <c r="E246" s="2213"/>
      <c r="F246" s="2392"/>
      <c r="G246" s="2436"/>
      <c r="H246" s="1509"/>
      <c r="I246" s="660" t="s">
        <v>1248</v>
      </c>
      <c r="J246" s="580"/>
      <c r="K246" s="1509"/>
      <c r="L246" s="223"/>
      <c r="M246" s="350"/>
      <c r="N246" s="343"/>
      <c r="O246" s="1633"/>
      <c r="P246" s="1633"/>
      <c r="AH246" s="1640">
        <v>0</v>
      </c>
    </row>
    <row s="1644" customFormat="1" customHeight="1" ht="0.75" hidden="1">
      <c r="A247" s="1789"/>
      <c r="B247" s="1789"/>
      <c r="C247" s="378" t="s">
        <v>1256</v>
      </c>
      <c r="D247" s="2471"/>
      <c r="E247" s="2213"/>
      <c r="F247" s="2392"/>
      <c r="G247" s="409"/>
      <c r="H247" s="1509"/>
      <c r="I247" s="660"/>
      <c r="J247" s="580"/>
      <c r="K247" s="1509"/>
      <c r="L247" s="223"/>
      <c r="M247" s="350"/>
      <c r="N247" s="343"/>
      <c r="O247" s="1633"/>
      <c r="P247" s="1633"/>
      <c r="AH247" s="1640">
        <v>0</v>
      </c>
    </row>
    <row s="1644" customFormat="1" customHeight="1" ht="18.75" hidden="1">
      <c r="A248" s="1789" t="s">
        <v>318</v>
      </c>
      <c r="B248" s="1789" t="s">
        <v>319</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379</v>
      </c>
      <c r="M248" s="350"/>
      <c r="N248" s="343"/>
      <c r="O248" s="1633"/>
      <c r="P248" s="1633"/>
      <c r="AH248" s="1640">
        <v>0</v>
      </c>
    </row>
    <row s="1644" customFormat="1" customHeight="1" ht="18.75" hidden="1">
      <c r="A249" s="1789"/>
      <c r="B249" s="1789"/>
      <c r="C249" s="378" t="s">
        <v>1249</v>
      </c>
      <c r="D249" s="2471"/>
      <c r="E249" s="2213"/>
      <c r="F249" s="2392"/>
      <c r="G249" s="2436"/>
      <c r="H249" s="1509"/>
      <c r="I249" s="660" t="s">
        <v>1248</v>
      </c>
      <c r="J249" s="580"/>
      <c r="K249" s="1509"/>
      <c r="L249" s="223"/>
      <c r="M249" s="350"/>
      <c r="N249" s="343"/>
      <c r="O249" s="1633"/>
      <c r="P249" s="1633"/>
      <c r="AH249" s="1640">
        <v>0</v>
      </c>
    </row>
    <row s="1644" customFormat="1" customHeight="1" ht="0.75" hidden="1">
      <c r="A250" s="1789"/>
      <c r="B250" s="1789"/>
      <c r="C250" s="378" t="s">
        <v>1256</v>
      </c>
      <c r="D250" s="2471"/>
      <c r="E250" s="2213"/>
      <c r="F250" s="2392"/>
      <c r="G250" s="409"/>
      <c r="H250" s="1509"/>
      <c r="I250" s="660"/>
      <c r="J250" s="580"/>
      <c r="K250" s="1509"/>
      <c r="L250" s="223"/>
      <c r="M250" s="350"/>
      <c r="N250" s="343"/>
      <c r="O250" s="1633"/>
      <c r="P250" s="1633"/>
      <c r="AH250" s="1640">
        <v>0</v>
      </c>
    </row>
    <row s="1644" customFormat="1" customHeight="1" ht="18.75" hidden="1">
      <c r="A251" s="1789" t="s">
        <v>323</v>
      </c>
      <c r="B251" s="1789" t="s">
        <v>324</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379</v>
      </c>
      <c r="M251" s="350"/>
      <c r="N251" s="343"/>
      <c r="O251" s="1633"/>
      <c r="P251" s="1633"/>
      <c r="AH251" s="1640">
        <v>0</v>
      </c>
    </row>
    <row s="1644" customFormat="1" customHeight="1" ht="18.75" hidden="1">
      <c r="A252" s="1789"/>
      <c r="B252" s="1789"/>
      <c r="C252" s="378" t="s">
        <v>1249</v>
      </c>
      <c r="D252" s="2471"/>
      <c r="E252" s="2213"/>
      <c r="F252" s="2392"/>
      <c r="G252" s="2436"/>
      <c r="H252" s="1509"/>
      <c r="I252" s="660" t="s">
        <v>1248</v>
      </c>
      <c r="J252" s="580"/>
      <c r="K252" s="1509"/>
      <c r="L252" s="223"/>
      <c r="M252" s="350"/>
      <c r="N252" s="343"/>
      <c r="O252" s="1633"/>
      <c r="P252" s="1633"/>
      <c r="AH252" s="1640">
        <v>0</v>
      </c>
    </row>
    <row s="1644" customFormat="1" customHeight="1" ht="0.75" hidden="1">
      <c r="A253" s="1789"/>
      <c r="B253" s="1789"/>
      <c r="C253" s="378" t="s">
        <v>1256</v>
      </c>
      <c r="D253" s="2471"/>
      <c r="E253" s="2213"/>
      <c r="F253" s="2392"/>
      <c r="G253" s="409"/>
      <c r="H253" s="1509"/>
      <c r="I253" s="660"/>
      <c r="J253" s="580"/>
      <c r="K253" s="1509"/>
      <c r="L253" s="223"/>
      <c r="M253" s="350"/>
      <c r="N253" s="343"/>
      <c r="O253" s="1633"/>
      <c r="P253" s="1633"/>
      <c r="AH253" s="1640">
        <v>0</v>
      </c>
    </row>
    <row s="1644" customFormat="1" customHeight="1" ht="18.75" hidden="1">
      <c r="A254" s="1789" t="s">
        <v>328</v>
      </c>
      <c r="B254" s="1789" t="s">
        <v>329</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379</v>
      </c>
      <c r="M254" s="350"/>
      <c r="N254" s="343"/>
      <c r="O254" s="1633"/>
      <c r="P254" s="1633"/>
      <c r="AH254" s="1640">
        <v>0</v>
      </c>
    </row>
    <row s="1644" customFormat="1" customHeight="1" ht="18.75" hidden="1">
      <c r="A255" s="1789"/>
      <c r="B255" s="1789"/>
      <c r="C255" s="378" t="s">
        <v>1249</v>
      </c>
      <c r="D255" s="2471"/>
      <c r="E255" s="2213"/>
      <c r="F255" s="2392"/>
      <c r="G255" s="2436"/>
      <c r="H255" s="1509"/>
      <c r="I255" s="660" t="s">
        <v>1248</v>
      </c>
      <c r="J255" s="580"/>
      <c r="K255" s="1509"/>
      <c r="L255" s="223"/>
      <c r="M255" s="350"/>
      <c r="N255" s="343"/>
      <c r="O255" s="1633"/>
      <c r="P255" s="1633"/>
      <c r="AH255" s="1640">
        <v>0</v>
      </c>
    </row>
    <row s="1644" customFormat="1" customHeight="1" ht="0.75" hidden="1">
      <c r="A256" s="1789"/>
      <c r="B256" s="1789"/>
      <c r="C256" s="378" t="s">
        <v>1256</v>
      </c>
      <c r="D256" s="2471"/>
      <c r="E256" s="2213"/>
      <c r="F256" s="2392"/>
      <c r="G256" s="409"/>
      <c r="H256" s="1509"/>
      <c r="I256" s="660"/>
      <c r="J256" s="580"/>
      <c r="K256" s="1509"/>
      <c r="L256" s="223"/>
      <c r="M256" s="350"/>
      <c r="N256" s="343"/>
      <c r="O256" s="1633"/>
      <c r="P256" s="1633"/>
      <c r="AH256" s="1640">
        <v>0</v>
      </c>
    </row>
    <row s="1644" customFormat="1" customHeight="1" ht="18.75" hidden="1">
      <c r="A257" s="1789" t="s">
        <v>333</v>
      </c>
      <c r="B257" s="1789" t="s">
        <v>334</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379</v>
      </c>
      <c r="M257" s="350"/>
      <c r="N257" s="343"/>
      <c r="O257" s="1633"/>
      <c r="P257" s="1633"/>
      <c r="AH257" s="1640">
        <v>0</v>
      </c>
    </row>
    <row s="1644" customFormat="1" customHeight="1" ht="18.75" hidden="1">
      <c r="A258" s="1789"/>
      <c r="B258" s="1789"/>
      <c r="C258" s="378" t="s">
        <v>1249</v>
      </c>
      <c r="D258" s="2471"/>
      <c r="E258" s="2213"/>
      <c r="F258" s="2392"/>
      <c r="G258" s="2436"/>
      <c r="H258" s="1509"/>
      <c r="I258" s="660" t="s">
        <v>1248</v>
      </c>
      <c r="J258" s="580"/>
      <c r="K258" s="1509"/>
      <c r="L258" s="223"/>
      <c r="M258" s="350"/>
      <c r="N258" s="343"/>
      <c r="O258" s="1633"/>
      <c r="P258" s="1633"/>
      <c r="AH258" s="1640">
        <v>0</v>
      </c>
    </row>
    <row s="1644" customFormat="1" customHeight="1" ht="0.75" hidden="1">
      <c r="A259" s="1789"/>
      <c r="B259" s="1789"/>
      <c r="C259" s="378" t="s">
        <v>1256</v>
      </c>
      <c r="D259" s="2471"/>
      <c r="E259" s="2213"/>
      <c r="F259" s="2392"/>
      <c r="G259" s="409"/>
      <c r="H259" s="1509"/>
      <c r="I259" s="660"/>
      <c r="J259" s="580"/>
      <c r="K259" s="1509"/>
      <c r="L259" s="223"/>
      <c r="M259" s="350"/>
      <c r="N259" s="343"/>
      <c r="O259" s="1633"/>
      <c r="P259" s="1633"/>
      <c r="AH259" s="1640">
        <v>0</v>
      </c>
    </row>
    <row s="1644" customFormat="1" customHeight="1" ht="18.75" hidden="1">
      <c r="A260" s="1789" t="s">
        <v>338</v>
      </c>
      <c r="B260" s="1789" t="s">
        <v>339</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379</v>
      </c>
      <c r="M260" s="350"/>
      <c r="N260" s="343"/>
      <c r="O260" s="1633"/>
      <c r="P260" s="1633"/>
      <c r="AH260" s="1640">
        <v>0</v>
      </c>
    </row>
    <row s="1644" customFormat="1" customHeight="1" ht="18.75" hidden="1">
      <c r="A261" s="1789"/>
      <c r="B261" s="1789"/>
      <c r="C261" s="378" t="s">
        <v>1249</v>
      </c>
      <c r="D261" s="2471"/>
      <c r="E261" s="2213"/>
      <c r="F261" s="2392"/>
      <c r="G261" s="2436"/>
      <c r="H261" s="1509"/>
      <c r="I261" s="660" t="s">
        <v>1248</v>
      </c>
      <c r="J261" s="580"/>
      <c r="K261" s="1509"/>
      <c r="L261" s="223"/>
      <c r="M261" s="350"/>
      <c r="N261" s="343"/>
      <c r="O261" s="1633"/>
      <c r="P261" s="1633"/>
      <c r="AH261" s="1640">
        <v>0</v>
      </c>
    </row>
    <row s="1644" customFormat="1" customHeight="1" ht="0.75" hidden="1">
      <c r="A262" s="1789"/>
      <c r="B262" s="1789"/>
      <c r="C262" s="378" t="s">
        <v>1256</v>
      </c>
      <c r="D262" s="2471"/>
      <c r="E262" s="2213"/>
      <c r="F262" s="2392"/>
      <c r="G262" s="409"/>
      <c r="H262" s="1509"/>
      <c r="I262" s="660"/>
      <c r="J262" s="580"/>
      <c r="K262" s="1509"/>
      <c r="L262" s="223"/>
      <c r="M262" s="350"/>
      <c r="N262" s="343"/>
      <c r="O262" s="1633"/>
      <c r="P262" s="1633"/>
      <c r="AH262" s="1640">
        <v>0</v>
      </c>
    </row>
    <row s="1644" customFormat="1" customHeight="1" ht="18.75" hidden="1">
      <c r="A263" s="1789" t="s">
        <v>343</v>
      </c>
      <c r="B263" s="1789" t="s">
        <v>344</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379</v>
      </c>
      <c r="M263" s="350"/>
      <c r="N263" s="343"/>
      <c r="O263" s="1633"/>
      <c r="P263" s="1633"/>
      <c r="AH263" s="1640">
        <v>0</v>
      </c>
    </row>
    <row s="1644" customFormat="1" customHeight="1" ht="18.75" hidden="1">
      <c r="A264" s="1789"/>
      <c r="B264" s="1789"/>
      <c r="C264" s="378" t="s">
        <v>1249</v>
      </c>
      <c r="D264" s="2471"/>
      <c r="E264" s="2213"/>
      <c r="F264" s="2392"/>
      <c r="G264" s="2436"/>
      <c r="H264" s="1509"/>
      <c r="I264" s="660" t="s">
        <v>1248</v>
      </c>
      <c r="J264" s="580"/>
      <c r="K264" s="1509"/>
      <c r="L264" s="223"/>
      <c r="M264" s="350"/>
      <c r="N264" s="343"/>
      <c r="O264" s="1633"/>
      <c r="P264" s="1633"/>
      <c r="AH264" s="1640">
        <v>0</v>
      </c>
    </row>
    <row s="1644" customFormat="1" customHeight="1" ht="0.75" hidden="1">
      <c r="A265" s="1789"/>
      <c r="B265" s="1789"/>
      <c r="C265" s="378" t="s">
        <v>1256</v>
      </c>
      <c r="D265" s="2471"/>
      <c r="E265" s="2213"/>
      <c r="F265" s="2392"/>
      <c r="G265" s="409"/>
      <c r="H265" s="1509"/>
      <c r="I265" s="660"/>
      <c r="J265" s="580"/>
      <c r="K265" s="1509"/>
      <c r="L265" s="223"/>
      <c r="M265" s="350"/>
      <c r="N265" s="343"/>
      <c r="O265" s="1633"/>
      <c r="P265" s="1633"/>
      <c r="AH265" s="1640">
        <v>0</v>
      </c>
    </row>
    <row s="1644" customFormat="1" customHeight="1" ht="18.75" hidden="1">
      <c r="A266" s="1789" t="s">
        <v>348</v>
      </c>
      <c r="B266" s="1789" t="s">
        <v>349</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379</v>
      </c>
      <c r="M266" s="350"/>
      <c r="N266" s="343"/>
      <c r="O266" s="1633"/>
      <c r="P266" s="1633"/>
      <c r="AH266" s="1640">
        <v>0</v>
      </c>
    </row>
    <row s="1644" customFormat="1" customHeight="1" ht="18.75" hidden="1">
      <c r="A267" s="1789"/>
      <c r="B267" s="1789"/>
      <c r="C267" s="378" t="s">
        <v>1249</v>
      </c>
      <c r="D267" s="2471"/>
      <c r="E267" s="2213"/>
      <c r="F267" s="2392"/>
      <c r="G267" s="2436"/>
      <c r="H267" s="1509"/>
      <c r="I267" s="660" t="s">
        <v>1248</v>
      </c>
      <c r="J267" s="580"/>
      <c r="K267" s="1509"/>
      <c r="L267" s="223"/>
      <c r="M267" s="350"/>
      <c r="N267" s="343"/>
      <c r="O267" s="1633"/>
      <c r="P267" s="1633"/>
      <c r="AH267" s="1640">
        <v>0</v>
      </c>
    </row>
    <row s="1644" customFormat="1" customHeight="1" ht="1.05">
      <c r="A268" s="1789"/>
      <c r="B268" s="1789"/>
      <c r="C268" s="378" t="s">
        <v>1256</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92</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9"/>
      <c r="H269" s="2469"/>
      <c r="I269" s="2469"/>
      <c r="J269" s="2469"/>
      <c r="K269" s="2469"/>
      <c r="L269" s="2469"/>
      <c r="M269" s="306"/>
      <c r="N269" s="343"/>
      <c r="AH269" s="383">
        <v>26</v>
      </c>
    </row>
    <row s="1644" customFormat="1" customHeight="1" ht="60.75" hidden="1">
      <c r="A270" s="1789" t="s">
        <v>230</v>
      </c>
      <c r="B270" s="1789" t="s">
        <v>231</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379</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1249</v>
      </c>
      <c r="D271" s="2471"/>
      <c r="E271" s="2213"/>
      <c r="F271" s="2392"/>
      <c r="G271" s="2436"/>
      <c r="H271" s="1509"/>
      <c r="I271" s="660" t="s">
        <v>1248</v>
      </c>
      <c r="J271" s="580"/>
      <c r="K271" s="1509"/>
      <c r="L271" s="223"/>
      <c r="M271" s="2179"/>
      <c r="N271" s="343"/>
      <c r="O271" s="1633"/>
      <c r="P271" s="1633"/>
      <c r="AH271" s="1640">
        <v>0</v>
      </c>
    </row>
    <row s="1644" customFormat="1" customHeight="1" ht="0.75" hidden="1">
      <c r="A272" s="1789"/>
      <c r="B272" s="1789"/>
      <c r="C272" s="378" t="s">
        <v>1256</v>
      </c>
      <c r="D272" s="2471"/>
      <c r="E272" s="2213"/>
      <c r="F272" s="2392"/>
      <c r="G272" s="409"/>
      <c r="H272" s="1509"/>
      <c r="I272" s="660"/>
      <c r="J272" s="580"/>
      <c r="K272" s="1509"/>
      <c r="L272" s="223"/>
      <c r="M272" s="2179"/>
      <c r="N272" s="343"/>
      <c r="O272" s="1633"/>
      <c r="P272" s="1633"/>
      <c r="AH272" s="1640">
        <v>0</v>
      </c>
    </row>
    <row s="1644" customFormat="1" customHeight="1" ht="45" hidden="1">
      <c r="A273" s="1789" t="s">
        <v>235</v>
      </c>
      <c r="B273" s="1789" t="s">
        <v>236</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379</v>
      </c>
      <c r="M273" s="2180"/>
      <c r="N273" s="343"/>
      <c r="O273" s="1633"/>
      <c r="P273" s="1633"/>
      <c r="AH273" s="1640">
        <v>0</v>
      </c>
    </row>
    <row s="1644" customFormat="1" customHeight="1" ht="18.75" hidden="1">
      <c r="A274" s="1789"/>
      <c r="B274" s="1789"/>
      <c r="C274" s="378" t="s">
        <v>1249</v>
      </c>
      <c r="D274" s="2471"/>
      <c r="E274" s="2213"/>
      <c r="F274" s="2392"/>
      <c r="G274" s="2436"/>
      <c r="H274" s="1509"/>
      <c r="I274" s="660" t="s">
        <v>1248</v>
      </c>
      <c r="J274" s="580"/>
      <c r="K274" s="1509"/>
      <c r="L274" s="223"/>
      <c r="M274" s="1870"/>
      <c r="N274" s="343"/>
      <c r="O274" s="1633"/>
      <c r="P274" s="1633"/>
      <c r="AH274" s="1640">
        <v>0</v>
      </c>
    </row>
    <row s="1644" customFormat="1" customHeight="1" ht="0.75" hidden="1">
      <c r="A275" s="1789"/>
      <c r="B275" s="1789"/>
      <c r="C275" s="378" t="s">
        <v>1256</v>
      </c>
      <c r="D275" s="2471"/>
      <c r="E275" s="2213"/>
      <c r="F275" s="2392"/>
      <c r="G275" s="409"/>
      <c r="H275" s="1509"/>
      <c r="I275" s="660"/>
      <c r="J275" s="580"/>
      <c r="K275" s="1509"/>
      <c r="L275" s="223"/>
      <c r="M275" s="350"/>
      <c r="N275" s="343"/>
      <c r="O275" s="1633"/>
      <c r="P275" s="1633"/>
      <c r="AH275" s="1640">
        <v>0</v>
      </c>
    </row>
    <row s="1644" customFormat="1" customHeight="1" ht="45" hidden="1">
      <c r="A276" s="1789" t="s">
        <v>242</v>
      </c>
      <c r="B276" s="1789" t="s">
        <v>243</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379</v>
      </c>
      <c r="M276" s="350"/>
      <c r="N276" s="343"/>
      <c r="O276" s="1633"/>
      <c r="P276" s="1633"/>
      <c r="AH276" s="1640">
        <v>0</v>
      </c>
    </row>
    <row s="1644" customFormat="1" customHeight="1" ht="18.75" hidden="1">
      <c r="A277" s="1789"/>
      <c r="B277" s="1789"/>
      <c r="C277" s="378" t="s">
        <v>1249</v>
      </c>
      <c r="D277" s="2471"/>
      <c r="E277" s="2213"/>
      <c r="F277" s="2392"/>
      <c r="G277" s="2436"/>
      <c r="H277" s="1509"/>
      <c r="I277" s="660" t="s">
        <v>1248</v>
      </c>
      <c r="J277" s="580"/>
      <c r="K277" s="1509"/>
      <c r="L277" s="223"/>
      <c r="M277" s="350"/>
      <c r="N277" s="343"/>
      <c r="O277" s="1633"/>
      <c r="P277" s="1633"/>
      <c r="AH277" s="1640">
        <v>0</v>
      </c>
    </row>
    <row s="1644" customFormat="1" customHeight="1" ht="0.75" hidden="1">
      <c r="A278" s="1789"/>
      <c r="B278" s="1789"/>
      <c r="C278" s="378" t="s">
        <v>1256</v>
      </c>
      <c r="D278" s="2471"/>
      <c r="E278" s="2213"/>
      <c r="F278" s="2392"/>
      <c r="G278" s="409"/>
      <c r="H278" s="1509"/>
      <c r="I278" s="660"/>
      <c r="J278" s="580"/>
      <c r="K278" s="1509"/>
      <c r="L278" s="223"/>
      <c r="M278" s="350"/>
      <c r="N278" s="343"/>
      <c r="O278" s="1633"/>
      <c r="P278" s="1633"/>
      <c r="AH278" s="1640">
        <v>0</v>
      </c>
    </row>
    <row s="1644" customFormat="1" customHeight="1" ht="45" hidden="1">
      <c r="A279" s="1789" t="s">
        <v>248</v>
      </c>
      <c r="B279" s="1789" t="s">
        <v>249</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379</v>
      </c>
      <c r="M279" s="350"/>
      <c r="N279" s="343"/>
      <c r="O279" s="1633"/>
      <c r="P279" s="1633"/>
      <c r="AH279" s="1640">
        <v>0</v>
      </c>
    </row>
    <row s="1644" customFormat="1" customHeight="1" ht="18.75" hidden="1">
      <c r="A280" s="1789"/>
      <c r="B280" s="1789"/>
      <c r="C280" s="378" t="s">
        <v>1249</v>
      </c>
      <c r="D280" s="2471"/>
      <c r="E280" s="2213"/>
      <c r="F280" s="2392"/>
      <c r="G280" s="2436"/>
      <c r="H280" s="1509"/>
      <c r="I280" s="660" t="s">
        <v>1248</v>
      </c>
      <c r="J280" s="580"/>
      <c r="K280" s="1509"/>
      <c r="L280" s="223"/>
      <c r="M280" s="350"/>
      <c r="N280" s="343"/>
      <c r="O280" s="1633"/>
      <c r="P280" s="1633"/>
      <c r="AH280" s="1640">
        <v>0</v>
      </c>
    </row>
    <row s="1644" customFormat="1" customHeight="1" ht="0.75" hidden="1">
      <c r="A281" s="1789"/>
      <c r="B281" s="1789"/>
      <c r="C281" s="378" t="s">
        <v>1256</v>
      </c>
      <c r="D281" s="2471"/>
      <c r="E281" s="2213"/>
      <c r="F281" s="2392"/>
      <c r="G281" s="409"/>
      <c r="H281" s="1509"/>
      <c r="I281" s="660"/>
      <c r="J281" s="580"/>
      <c r="K281" s="1509"/>
      <c r="L281" s="223"/>
      <c r="M281" s="350"/>
      <c r="N281" s="343"/>
      <c r="O281" s="1633"/>
      <c r="P281" s="1633"/>
      <c r="AH281" s="1640">
        <v>0</v>
      </c>
    </row>
    <row s="1644" customFormat="1" customHeight="1" ht="18.75" hidden="1">
      <c r="A282" s="1789" t="s">
        <v>254</v>
      </c>
      <c r="B282" s="1789" t="s">
        <v>255</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379</v>
      </c>
      <c r="M282" s="350"/>
      <c r="N282" s="343"/>
      <c r="O282" s="1633"/>
      <c r="P282" s="1633"/>
      <c r="AH282" s="1640">
        <v>0</v>
      </c>
    </row>
    <row s="1644" customFormat="1" customHeight="1" ht="18.75" hidden="1">
      <c r="A283" s="1789"/>
      <c r="B283" s="1789"/>
      <c r="C283" s="378" t="s">
        <v>1249</v>
      </c>
      <c r="D283" s="2471"/>
      <c r="E283" s="2213"/>
      <c r="F283" s="2392"/>
      <c r="G283" s="2436"/>
      <c r="H283" s="1509"/>
      <c r="I283" s="660" t="s">
        <v>1248</v>
      </c>
      <c r="J283" s="580"/>
      <c r="K283" s="1509"/>
      <c r="L283" s="223"/>
      <c r="M283" s="350"/>
      <c r="N283" s="343"/>
      <c r="O283" s="1633"/>
      <c r="P283" s="1633"/>
      <c r="AH283" s="1640">
        <v>0</v>
      </c>
    </row>
    <row s="1644" customFormat="1" customHeight="1" ht="0.75" hidden="1">
      <c r="A284" s="1789"/>
      <c r="B284" s="1789"/>
      <c r="C284" s="378" t="s">
        <v>1256</v>
      </c>
      <c r="D284" s="2471"/>
      <c r="E284" s="2213"/>
      <c r="F284" s="2392"/>
      <c r="G284" s="409"/>
      <c r="H284" s="1509"/>
      <c r="I284" s="660"/>
      <c r="J284" s="580"/>
      <c r="K284" s="1509"/>
      <c r="L284" s="223"/>
      <c r="M284" s="350"/>
      <c r="N284" s="343"/>
      <c r="O284" s="1633"/>
      <c r="P284" s="1633"/>
      <c r="AH284" s="1640">
        <v>0</v>
      </c>
    </row>
    <row s="1644" customFormat="1" customHeight="1" ht="18.75" hidden="1">
      <c r="A285" s="1789" t="s">
        <v>260</v>
      </c>
      <c r="B285" s="1789" t="s">
        <v>261</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379</v>
      </c>
      <c r="M285" s="350"/>
      <c r="N285" s="343"/>
      <c r="O285" s="1633"/>
      <c r="P285" s="1633"/>
      <c r="AH285" s="1640">
        <v>0</v>
      </c>
    </row>
    <row s="1644" customFormat="1" customHeight="1" ht="18.75" hidden="1">
      <c r="A286" s="1789"/>
      <c r="B286" s="1789"/>
      <c r="C286" s="378" t="s">
        <v>1249</v>
      </c>
      <c r="D286" s="2471"/>
      <c r="E286" s="2213"/>
      <c r="F286" s="2392"/>
      <c r="G286" s="2436"/>
      <c r="H286" s="1509"/>
      <c r="I286" s="660" t="s">
        <v>1248</v>
      </c>
      <c r="J286" s="580"/>
      <c r="K286" s="1509"/>
      <c r="L286" s="223"/>
      <c r="M286" s="350"/>
      <c r="N286" s="343"/>
      <c r="O286" s="1633"/>
      <c r="P286" s="1633"/>
      <c r="AH286" s="1640">
        <v>0</v>
      </c>
    </row>
    <row s="1644" customFormat="1" customHeight="1" ht="0.75" hidden="1">
      <c r="A287" s="1789"/>
      <c r="B287" s="1789"/>
      <c r="C287" s="378" t="s">
        <v>1256</v>
      </c>
      <c r="D287" s="2471"/>
      <c r="E287" s="2213"/>
      <c r="F287" s="2392"/>
      <c r="G287" s="409"/>
      <c r="H287" s="1509"/>
      <c r="I287" s="660"/>
      <c r="J287" s="580"/>
      <c r="K287" s="1509"/>
      <c r="L287" s="223"/>
      <c r="M287" s="350"/>
      <c r="N287" s="343"/>
      <c r="O287" s="1633"/>
      <c r="P287" s="1633"/>
      <c r="AH287" s="1640">
        <v>0</v>
      </c>
    </row>
    <row s="1644" customFormat="1" customHeight="1" ht="18.75" hidden="1">
      <c r="A288" s="1789" t="s">
        <v>266</v>
      </c>
      <c r="B288" s="1789" t="s">
        <v>267</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379</v>
      </c>
      <c r="M288" s="350"/>
      <c r="N288" s="343"/>
      <c r="O288" s="1633"/>
      <c r="P288" s="1633"/>
      <c r="AH288" s="1640">
        <v>0</v>
      </c>
    </row>
    <row s="1644" customFormat="1" customHeight="1" ht="18.75" hidden="1">
      <c r="A289" s="1789"/>
      <c r="B289" s="1789"/>
      <c r="C289" s="378" t="s">
        <v>1249</v>
      </c>
      <c r="D289" s="2471"/>
      <c r="E289" s="2213"/>
      <c r="F289" s="2392"/>
      <c r="G289" s="2436"/>
      <c r="H289" s="1509"/>
      <c r="I289" s="660" t="s">
        <v>1248</v>
      </c>
      <c r="J289" s="580"/>
      <c r="K289" s="1509"/>
      <c r="L289" s="223"/>
      <c r="M289" s="350"/>
      <c r="N289" s="343"/>
      <c r="O289" s="1633"/>
      <c r="P289" s="1633"/>
      <c r="AH289" s="1640">
        <v>0</v>
      </c>
    </row>
    <row s="1644" customFormat="1" customHeight="1" ht="0.75" hidden="1">
      <c r="A290" s="1789"/>
      <c r="B290" s="1789"/>
      <c r="C290" s="378" t="s">
        <v>1256</v>
      </c>
      <c r="D290" s="2471"/>
      <c r="E290" s="2213"/>
      <c r="F290" s="2392"/>
      <c r="G290" s="409"/>
      <c r="H290" s="1509"/>
      <c r="I290" s="660"/>
      <c r="J290" s="580"/>
      <c r="K290" s="1509"/>
      <c r="L290" s="223"/>
      <c r="M290" s="350"/>
      <c r="N290" s="343"/>
      <c r="O290" s="1633"/>
      <c r="P290" s="1633"/>
      <c r="AH290" s="1640">
        <v>0</v>
      </c>
    </row>
    <row s="1644" customFormat="1" customHeight="1" ht="18.75" hidden="1">
      <c r="A291" s="1789" t="s">
        <v>272</v>
      </c>
      <c r="B291" s="1789" t="s">
        <v>273</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379</v>
      </c>
      <c r="M291" s="350"/>
      <c r="N291" s="343"/>
      <c r="O291" s="1633"/>
      <c r="P291" s="1633"/>
      <c r="AH291" s="1640">
        <v>0</v>
      </c>
    </row>
    <row s="1644" customFormat="1" customHeight="1" ht="18.75" hidden="1">
      <c r="A292" s="1789"/>
      <c r="B292" s="1789"/>
      <c r="C292" s="378" t="s">
        <v>1249</v>
      </c>
      <c r="D292" s="2471"/>
      <c r="E292" s="2213"/>
      <c r="F292" s="2392"/>
      <c r="G292" s="2436"/>
      <c r="H292" s="1509"/>
      <c r="I292" s="660" t="s">
        <v>1248</v>
      </c>
      <c r="J292" s="580"/>
      <c r="K292" s="1509"/>
      <c r="L292" s="223"/>
      <c r="M292" s="350"/>
      <c r="N292" s="343"/>
      <c r="O292" s="1633"/>
      <c r="P292" s="1633"/>
      <c r="AH292" s="1640">
        <v>0</v>
      </c>
    </row>
    <row s="1644" customFormat="1" customHeight="1" ht="0.75" hidden="1">
      <c r="A293" s="1789"/>
      <c r="B293" s="1789"/>
      <c r="C293" s="378" t="s">
        <v>1256</v>
      </c>
      <c r="D293" s="2471"/>
      <c r="E293" s="2213"/>
      <c r="F293" s="2392"/>
      <c r="G293" s="409"/>
      <c r="H293" s="1509"/>
      <c r="I293" s="660"/>
      <c r="J293" s="580"/>
      <c r="K293" s="1509"/>
      <c r="L293" s="223"/>
      <c r="M293" s="350"/>
      <c r="N293" s="343"/>
      <c r="O293" s="1633"/>
      <c r="P293" s="1633"/>
      <c r="AH293" s="1640">
        <v>0</v>
      </c>
    </row>
    <row s="1644" customFormat="1" customHeight="1" ht="18.75" hidden="1">
      <c r="A294" s="1789" t="s">
        <v>278</v>
      </c>
      <c r="B294" s="1789" t="s">
        <v>279</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379</v>
      </c>
      <c r="M294" s="350"/>
      <c r="N294" s="343"/>
      <c r="O294" s="1633"/>
      <c r="P294" s="1633"/>
      <c r="AH294" s="1640">
        <v>0</v>
      </c>
    </row>
    <row s="1644" customFormat="1" customHeight="1" ht="18.75" hidden="1">
      <c r="A295" s="1789"/>
      <c r="B295" s="1789"/>
      <c r="C295" s="378" t="s">
        <v>1249</v>
      </c>
      <c r="D295" s="2471"/>
      <c r="E295" s="2213"/>
      <c r="F295" s="2392"/>
      <c r="G295" s="2436"/>
      <c r="H295" s="1509"/>
      <c r="I295" s="660" t="s">
        <v>1248</v>
      </c>
      <c r="J295" s="580"/>
      <c r="K295" s="1509"/>
      <c r="L295" s="223"/>
      <c r="M295" s="350"/>
      <c r="N295" s="343"/>
      <c r="O295" s="1633"/>
      <c r="P295" s="1633"/>
      <c r="AH295" s="1640">
        <v>0</v>
      </c>
    </row>
    <row s="1644" customFormat="1" customHeight="1" ht="0.75" hidden="1">
      <c r="A296" s="1789"/>
      <c r="B296" s="1789"/>
      <c r="C296" s="378" t="s">
        <v>1256</v>
      </c>
      <c r="D296" s="2471"/>
      <c r="E296" s="2213"/>
      <c r="F296" s="2392"/>
      <c r="G296" s="409"/>
      <c r="H296" s="1509"/>
      <c r="I296" s="660"/>
      <c r="J296" s="580"/>
      <c r="K296" s="1509"/>
      <c r="L296" s="223"/>
      <c r="M296" s="350"/>
      <c r="N296" s="343"/>
      <c r="O296" s="1633"/>
      <c r="P296" s="1633"/>
      <c r="AH296" s="1640">
        <v>0</v>
      </c>
    </row>
    <row s="1644" customFormat="1" customHeight="1" ht="18.75" hidden="1">
      <c r="A297" s="1789" t="s">
        <v>298</v>
      </c>
      <c r="B297" s="1789" t="s">
        <v>299</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379</v>
      </c>
      <c r="M297" s="350"/>
      <c r="N297" s="343"/>
      <c r="O297" s="1633"/>
      <c r="P297" s="1633"/>
      <c r="AH297" s="1640">
        <v>0</v>
      </c>
    </row>
    <row s="1644" customFormat="1" customHeight="1" ht="18.75" hidden="1">
      <c r="A298" s="1789"/>
      <c r="B298" s="1789"/>
      <c r="C298" s="378" t="s">
        <v>1249</v>
      </c>
      <c r="D298" s="2471"/>
      <c r="E298" s="2213"/>
      <c r="F298" s="2392"/>
      <c r="G298" s="2436"/>
      <c r="H298" s="1509"/>
      <c r="I298" s="660" t="s">
        <v>1248</v>
      </c>
      <c r="J298" s="580"/>
      <c r="K298" s="1509"/>
      <c r="L298" s="223"/>
      <c r="M298" s="350"/>
      <c r="N298" s="343"/>
      <c r="O298" s="1633"/>
      <c r="P298" s="1633"/>
      <c r="AH298" s="1640">
        <v>0</v>
      </c>
    </row>
    <row s="1644" customFormat="1" customHeight="1" ht="0.75" hidden="1">
      <c r="A299" s="1789"/>
      <c r="B299" s="1789"/>
      <c r="C299" s="378" t="s">
        <v>1256</v>
      </c>
      <c r="D299" s="2471"/>
      <c r="E299" s="2213"/>
      <c r="F299" s="2392"/>
      <c r="G299" s="409"/>
      <c r="H299" s="1509"/>
      <c r="I299" s="660"/>
      <c r="J299" s="580"/>
      <c r="K299" s="1509"/>
      <c r="L299" s="223"/>
      <c r="M299" s="350"/>
      <c r="N299" s="343"/>
      <c r="O299" s="1633"/>
      <c r="P299" s="1633"/>
      <c r="AH299" s="1640">
        <v>0</v>
      </c>
    </row>
    <row s="1644" customFormat="1" customHeight="1" ht="18.75" hidden="1">
      <c r="A300" s="1789" t="s">
        <v>303</v>
      </c>
      <c r="B300" s="1789" t="s">
        <v>304</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379</v>
      </c>
      <c r="M300" s="350"/>
      <c r="N300" s="343"/>
      <c r="O300" s="1633"/>
      <c r="P300" s="1633"/>
      <c r="AH300" s="1640">
        <v>0</v>
      </c>
    </row>
    <row s="1644" customFormat="1" customHeight="1" ht="18.75" hidden="1">
      <c r="A301" s="1789"/>
      <c r="B301" s="1789"/>
      <c r="C301" s="378" t="s">
        <v>1249</v>
      </c>
      <c r="D301" s="2471"/>
      <c r="E301" s="2213"/>
      <c r="F301" s="2392"/>
      <c r="G301" s="2436"/>
      <c r="H301" s="1509"/>
      <c r="I301" s="660" t="s">
        <v>1248</v>
      </c>
      <c r="J301" s="580"/>
      <c r="K301" s="1509"/>
      <c r="L301" s="223"/>
      <c r="M301" s="350"/>
      <c r="N301" s="343"/>
      <c r="O301" s="1633"/>
      <c r="P301" s="1633"/>
      <c r="AH301" s="1640">
        <v>0</v>
      </c>
    </row>
    <row s="1644" customFormat="1" customHeight="1" ht="0.75" hidden="1">
      <c r="A302" s="1789"/>
      <c r="B302" s="1789"/>
      <c r="C302" s="378" t="s">
        <v>1256</v>
      </c>
      <c r="D302" s="2471"/>
      <c r="E302" s="2213"/>
      <c r="F302" s="2392"/>
      <c r="G302" s="409"/>
      <c r="H302" s="1509"/>
      <c r="I302" s="660"/>
      <c r="J302" s="580"/>
      <c r="K302" s="1509"/>
      <c r="L302" s="223"/>
      <c r="M302" s="350"/>
      <c r="N302" s="343"/>
      <c r="O302" s="1633"/>
      <c r="P302" s="1633"/>
      <c r="AH302" s="1640">
        <v>0</v>
      </c>
    </row>
    <row s="1644" customFormat="1" customHeight="1" ht="18.75" hidden="1">
      <c r="A303" s="1789" t="s">
        <v>308</v>
      </c>
      <c r="B303" s="1789" t="s">
        <v>309</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379</v>
      </c>
      <c r="M303" s="350"/>
      <c r="N303" s="343"/>
      <c r="O303" s="1633"/>
      <c r="P303" s="1633"/>
      <c r="AH303" s="1640">
        <v>0</v>
      </c>
    </row>
    <row s="1644" customFormat="1" customHeight="1" ht="18.75" hidden="1">
      <c r="A304" s="1789"/>
      <c r="B304" s="1789"/>
      <c r="C304" s="378" t="s">
        <v>1249</v>
      </c>
      <c r="D304" s="2471"/>
      <c r="E304" s="2213"/>
      <c r="F304" s="2392"/>
      <c r="G304" s="2436"/>
      <c r="H304" s="1509"/>
      <c r="I304" s="660" t="s">
        <v>1248</v>
      </c>
      <c r="J304" s="580"/>
      <c r="K304" s="1509"/>
      <c r="L304" s="223"/>
      <c r="M304" s="350"/>
      <c r="N304" s="343"/>
      <c r="O304" s="1633"/>
      <c r="P304" s="1633"/>
      <c r="AH304" s="1640">
        <v>0</v>
      </c>
    </row>
    <row s="1644" customFormat="1" customHeight="1" ht="0.75" hidden="1">
      <c r="A305" s="1789"/>
      <c r="B305" s="1789"/>
      <c r="C305" s="378" t="s">
        <v>1256</v>
      </c>
      <c r="D305" s="2471"/>
      <c r="E305" s="2213"/>
      <c r="F305" s="2392"/>
      <c r="G305" s="409"/>
      <c r="H305" s="1509"/>
      <c r="I305" s="660"/>
      <c r="J305" s="580"/>
      <c r="K305" s="1509"/>
      <c r="L305" s="223"/>
      <c r="M305" s="350"/>
      <c r="N305" s="343"/>
      <c r="O305" s="1633"/>
      <c r="P305" s="1633"/>
      <c r="AH305" s="1640">
        <v>0</v>
      </c>
    </row>
    <row s="1644" customFormat="1" customHeight="1" ht="18.75" hidden="1">
      <c r="A306" s="1789" t="s">
        <v>313</v>
      </c>
      <c r="B306" s="1789" t="s">
        <v>314</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379</v>
      </c>
      <c r="M306" s="350"/>
      <c r="N306" s="343"/>
      <c r="O306" s="1633"/>
      <c r="P306" s="1633"/>
      <c r="AH306" s="1640">
        <v>0</v>
      </c>
    </row>
    <row s="1644" customFormat="1" customHeight="1" ht="18.75" hidden="1">
      <c r="A307" s="1789"/>
      <c r="B307" s="1789"/>
      <c r="C307" s="378" t="s">
        <v>1249</v>
      </c>
      <c r="D307" s="2471"/>
      <c r="E307" s="2213"/>
      <c r="F307" s="2392"/>
      <c r="G307" s="2436"/>
      <c r="H307" s="1509"/>
      <c r="I307" s="660" t="s">
        <v>1248</v>
      </c>
      <c r="J307" s="580"/>
      <c r="K307" s="1509"/>
      <c r="L307" s="223"/>
      <c r="M307" s="350"/>
      <c r="N307" s="343"/>
      <c r="O307" s="1633"/>
      <c r="P307" s="1633"/>
      <c r="AH307" s="1640">
        <v>0</v>
      </c>
    </row>
    <row s="1644" customFormat="1" customHeight="1" ht="0.75" hidden="1">
      <c r="A308" s="1789"/>
      <c r="B308" s="1789"/>
      <c r="C308" s="378" t="s">
        <v>1256</v>
      </c>
      <c r="D308" s="2471"/>
      <c r="E308" s="2213"/>
      <c r="F308" s="2392"/>
      <c r="G308" s="409"/>
      <c r="H308" s="1509"/>
      <c r="I308" s="660"/>
      <c r="J308" s="580"/>
      <c r="K308" s="1509"/>
      <c r="L308" s="223"/>
      <c r="M308" s="350"/>
      <c r="N308" s="343"/>
      <c r="O308" s="1633"/>
      <c r="P308" s="1633"/>
      <c r="AH308" s="1640">
        <v>0</v>
      </c>
    </row>
    <row s="1644" customFormat="1" customHeight="1" ht="18.75" hidden="1">
      <c r="A309" s="1789" t="s">
        <v>318</v>
      </c>
      <c r="B309" s="1789" t="s">
        <v>319</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379</v>
      </c>
      <c r="M309" s="350"/>
      <c r="N309" s="343"/>
      <c r="O309" s="1633"/>
      <c r="P309" s="1633"/>
      <c r="AH309" s="1640">
        <v>0</v>
      </c>
    </row>
    <row s="1644" customFormat="1" customHeight="1" ht="18.75" hidden="1">
      <c r="A310" s="1789"/>
      <c r="B310" s="1789"/>
      <c r="C310" s="378" t="s">
        <v>1249</v>
      </c>
      <c r="D310" s="2471"/>
      <c r="E310" s="2213"/>
      <c r="F310" s="2392"/>
      <c r="G310" s="2436"/>
      <c r="H310" s="1509"/>
      <c r="I310" s="660" t="s">
        <v>1248</v>
      </c>
      <c r="J310" s="580"/>
      <c r="K310" s="1509"/>
      <c r="L310" s="223"/>
      <c r="M310" s="350"/>
      <c r="N310" s="343"/>
      <c r="O310" s="1633"/>
      <c r="P310" s="1633"/>
      <c r="AH310" s="1640">
        <v>0</v>
      </c>
    </row>
    <row s="1644" customFormat="1" customHeight="1" ht="0.75" hidden="1">
      <c r="A311" s="1789"/>
      <c r="B311" s="1789"/>
      <c r="C311" s="378" t="s">
        <v>1256</v>
      </c>
      <c r="D311" s="2471"/>
      <c r="E311" s="2213"/>
      <c r="F311" s="2392"/>
      <c r="G311" s="409"/>
      <c r="H311" s="1509"/>
      <c r="I311" s="660"/>
      <c r="J311" s="580"/>
      <c r="K311" s="1509"/>
      <c r="L311" s="223"/>
      <c r="M311" s="350"/>
      <c r="N311" s="343"/>
      <c r="O311" s="1633"/>
      <c r="P311" s="1633"/>
      <c r="AH311" s="1640">
        <v>0</v>
      </c>
    </row>
    <row s="1644" customFormat="1" customHeight="1" ht="18.75" hidden="1">
      <c r="A312" s="1789" t="s">
        <v>323</v>
      </c>
      <c r="B312" s="1789" t="s">
        <v>324</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379</v>
      </c>
      <c r="M312" s="350"/>
      <c r="N312" s="343"/>
      <c r="O312" s="1633"/>
      <c r="P312" s="1633"/>
      <c r="AH312" s="1640">
        <v>0</v>
      </c>
    </row>
    <row s="1644" customFormat="1" customHeight="1" ht="18.75" hidden="1">
      <c r="A313" s="1789"/>
      <c r="B313" s="1789"/>
      <c r="C313" s="378" t="s">
        <v>1249</v>
      </c>
      <c r="D313" s="2471"/>
      <c r="E313" s="2213"/>
      <c r="F313" s="2392"/>
      <c r="G313" s="2436"/>
      <c r="H313" s="1509"/>
      <c r="I313" s="660" t="s">
        <v>1248</v>
      </c>
      <c r="J313" s="580"/>
      <c r="K313" s="1509"/>
      <c r="L313" s="223"/>
      <c r="M313" s="350"/>
      <c r="N313" s="343"/>
      <c r="O313" s="1633"/>
      <c r="P313" s="1633"/>
      <c r="AH313" s="1640">
        <v>0</v>
      </c>
    </row>
    <row s="1644" customFormat="1" customHeight="1" ht="0.75" hidden="1">
      <c r="A314" s="1789"/>
      <c r="B314" s="1789"/>
      <c r="C314" s="378" t="s">
        <v>1256</v>
      </c>
      <c r="D314" s="2471"/>
      <c r="E314" s="2213"/>
      <c r="F314" s="2392"/>
      <c r="G314" s="409"/>
      <c r="H314" s="1509"/>
      <c r="I314" s="660"/>
      <c r="J314" s="580"/>
      <c r="K314" s="1509"/>
      <c r="L314" s="223"/>
      <c r="M314" s="350"/>
      <c r="N314" s="343"/>
      <c r="O314" s="1633"/>
      <c r="P314" s="1633"/>
      <c r="AH314" s="1640">
        <v>0</v>
      </c>
    </row>
    <row s="1644" customFormat="1" customHeight="1" ht="18.75" hidden="1">
      <c r="A315" s="1789" t="s">
        <v>328</v>
      </c>
      <c r="B315" s="1789" t="s">
        <v>329</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379</v>
      </c>
      <c r="M315" s="350"/>
      <c r="N315" s="343"/>
      <c r="O315" s="1633"/>
      <c r="P315" s="1633"/>
      <c r="AH315" s="1640">
        <v>0</v>
      </c>
    </row>
    <row s="1644" customFormat="1" customHeight="1" ht="18.75" hidden="1">
      <c r="A316" s="1789"/>
      <c r="B316" s="1789"/>
      <c r="C316" s="378" t="s">
        <v>1249</v>
      </c>
      <c r="D316" s="2471"/>
      <c r="E316" s="2213"/>
      <c r="F316" s="2392"/>
      <c r="G316" s="2436"/>
      <c r="H316" s="1509"/>
      <c r="I316" s="660" t="s">
        <v>1248</v>
      </c>
      <c r="J316" s="580"/>
      <c r="K316" s="1509"/>
      <c r="L316" s="223"/>
      <c r="M316" s="350"/>
      <c r="N316" s="343"/>
      <c r="O316" s="1633"/>
      <c r="P316" s="1633"/>
      <c r="AH316" s="1640">
        <v>0</v>
      </c>
    </row>
    <row s="1644" customFormat="1" customHeight="1" ht="0.75" hidden="1">
      <c r="A317" s="1789"/>
      <c r="B317" s="1789"/>
      <c r="C317" s="378" t="s">
        <v>1256</v>
      </c>
      <c r="D317" s="2471"/>
      <c r="E317" s="2213"/>
      <c r="F317" s="2392"/>
      <c r="G317" s="409"/>
      <c r="H317" s="1509"/>
      <c r="I317" s="660"/>
      <c r="J317" s="580"/>
      <c r="K317" s="1509"/>
      <c r="L317" s="223"/>
      <c r="M317" s="350"/>
      <c r="N317" s="343"/>
      <c r="O317" s="1633"/>
      <c r="P317" s="1633"/>
      <c r="AH317" s="1640">
        <v>0</v>
      </c>
    </row>
    <row s="1644" customFormat="1" customHeight="1" ht="18.75" hidden="1">
      <c r="A318" s="1789" t="s">
        <v>333</v>
      </c>
      <c r="B318" s="1789" t="s">
        <v>334</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379</v>
      </c>
      <c r="M318" s="350"/>
      <c r="N318" s="343"/>
      <c r="O318" s="1633"/>
      <c r="P318" s="1633"/>
      <c r="AH318" s="1640">
        <v>0</v>
      </c>
    </row>
    <row s="1644" customFormat="1" customHeight="1" ht="18.75" hidden="1">
      <c r="A319" s="1789"/>
      <c r="B319" s="1789"/>
      <c r="C319" s="378" t="s">
        <v>1249</v>
      </c>
      <c r="D319" s="2471"/>
      <c r="E319" s="2213"/>
      <c r="F319" s="2392"/>
      <c r="G319" s="2436"/>
      <c r="H319" s="1509"/>
      <c r="I319" s="660" t="s">
        <v>1248</v>
      </c>
      <c r="J319" s="580"/>
      <c r="K319" s="1509"/>
      <c r="L319" s="223"/>
      <c r="M319" s="350"/>
      <c r="N319" s="343"/>
      <c r="O319" s="1633"/>
      <c r="P319" s="1633"/>
      <c r="AH319" s="1640">
        <v>0</v>
      </c>
    </row>
    <row s="1644" customFormat="1" customHeight="1" ht="0.75" hidden="1">
      <c r="A320" s="1789"/>
      <c r="B320" s="1789"/>
      <c r="C320" s="378" t="s">
        <v>1256</v>
      </c>
      <c r="D320" s="2471"/>
      <c r="E320" s="2213"/>
      <c r="F320" s="2392"/>
      <c r="G320" s="409"/>
      <c r="H320" s="1509"/>
      <c r="I320" s="660"/>
      <c r="J320" s="580"/>
      <c r="K320" s="1509"/>
      <c r="L320" s="223"/>
      <c r="M320" s="350"/>
      <c r="N320" s="343"/>
      <c r="O320" s="1633"/>
      <c r="P320" s="1633"/>
      <c r="AH320" s="1640">
        <v>0</v>
      </c>
    </row>
    <row s="1644" customFormat="1" customHeight="1" ht="18.75" hidden="1">
      <c r="A321" s="1789" t="s">
        <v>338</v>
      </c>
      <c r="B321" s="1789" t="s">
        <v>339</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379</v>
      </c>
      <c r="M321" s="350"/>
      <c r="N321" s="343"/>
      <c r="O321" s="1633"/>
      <c r="P321" s="1633"/>
      <c r="AH321" s="1640">
        <v>0</v>
      </c>
    </row>
    <row s="1644" customFormat="1" customHeight="1" ht="18.75" hidden="1">
      <c r="A322" s="1789"/>
      <c r="B322" s="1789"/>
      <c r="C322" s="378" t="s">
        <v>1249</v>
      </c>
      <c r="D322" s="2471"/>
      <c r="E322" s="2213"/>
      <c r="F322" s="2392"/>
      <c r="G322" s="2436"/>
      <c r="H322" s="1509"/>
      <c r="I322" s="660" t="s">
        <v>1248</v>
      </c>
      <c r="J322" s="580"/>
      <c r="K322" s="1509"/>
      <c r="L322" s="223"/>
      <c r="M322" s="350"/>
      <c r="N322" s="343"/>
      <c r="O322" s="1633"/>
      <c r="P322" s="1633"/>
      <c r="AH322" s="1640">
        <v>0</v>
      </c>
    </row>
    <row s="1644" customFormat="1" customHeight="1" ht="0.75" hidden="1">
      <c r="A323" s="1789"/>
      <c r="B323" s="1789"/>
      <c r="C323" s="378" t="s">
        <v>1256</v>
      </c>
      <c r="D323" s="2471"/>
      <c r="E323" s="2213"/>
      <c r="F323" s="2392"/>
      <c r="G323" s="409"/>
      <c r="H323" s="1509"/>
      <c r="I323" s="660"/>
      <c r="J323" s="580"/>
      <c r="K323" s="1509"/>
      <c r="L323" s="223"/>
      <c r="M323" s="350"/>
      <c r="N323" s="343"/>
      <c r="O323" s="1633"/>
      <c r="P323" s="1633"/>
      <c r="AH323" s="1640">
        <v>0</v>
      </c>
    </row>
    <row s="1644" customFormat="1" customHeight="1" ht="18.75" hidden="1">
      <c r="A324" s="1789" t="s">
        <v>343</v>
      </c>
      <c r="B324" s="1789" t="s">
        <v>344</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379</v>
      </c>
      <c r="M324" s="350"/>
      <c r="N324" s="343"/>
      <c r="O324" s="1633"/>
      <c r="P324" s="1633"/>
      <c r="AH324" s="1640">
        <v>0</v>
      </c>
    </row>
    <row s="1644" customFormat="1" customHeight="1" ht="18.75" hidden="1">
      <c r="A325" s="1789"/>
      <c r="B325" s="1789"/>
      <c r="C325" s="378" t="s">
        <v>1249</v>
      </c>
      <c r="D325" s="2471"/>
      <c r="E325" s="2213"/>
      <c r="F325" s="2392"/>
      <c r="G325" s="2436"/>
      <c r="H325" s="1509"/>
      <c r="I325" s="660" t="s">
        <v>1248</v>
      </c>
      <c r="J325" s="580"/>
      <c r="K325" s="1509"/>
      <c r="L325" s="223"/>
      <c r="M325" s="350"/>
      <c r="N325" s="343"/>
      <c r="O325" s="1633"/>
      <c r="P325" s="1633"/>
      <c r="AH325" s="1640">
        <v>0</v>
      </c>
    </row>
    <row s="1644" customFormat="1" customHeight="1" ht="0.75" hidden="1">
      <c r="A326" s="1789"/>
      <c r="B326" s="1789"/>
      <c r="C326" s="378" t="s">
        <v>1256</v>
      </c>
      <c r="D326" s="2471"/>
      <c r="E326" s="2213"/>
      <c r="F326" s="2392"/>
      <c r="G326" s="409"/>
      <c r="H326" s="1509"/>
      <c r="I326" s="660"/>
      <c r="J326" s="580"/>
      <c r="K326" s="1509"/>
      <c r="L326" s="223"/>
      <c r="M326" s="350"/>
      <c r="N326" s="343"/>
      <c r="O326" s="1633"/>
      <c r="P326" s="1633"/>
      <c r="AH326" s="1640">
        <v>0</v>
      </c>
    </row>
    <row s="1644" customFormat="1" customHeight="1" ht="18.75" hidden="1">
      <c r="A327" s="1789" t="s">
        <v>348</v>
      </c>
      <c r="B327" s="1789" t="s">
        <v>349</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379</v>
      </c>
      <c r="M327" s="350"/>
      <c r="N327" s="343"/>
      <c r="O327" s="1633"/>
      <c r="P327" s="1633"/>
      <c r="AH327" s="1640">
        <v>0</v>
      </c>
    </row>
    <row s="1644" customFormat="1" customHeight="1" ht="18.75" hidden="1">
      <c r="A328" s="1789"/>
      <c r="B328" s="1789"/>
      <c r="C328" s="378" t="s">
        <v>1249</v>
      </c>
      <c r="D328" s="2471"/>
      <c r="E328" s="2213"/>
      <c r="F328" s="2392"/>
      <c r="G328" s="2436"/>
      <c r="H328" s="1509"/>
      <c r="I328" s="660" t="s">
        <v>1248</v>
      </c>
      <c r="J328" s="580"/>
      <c r="K328" s="1509"/>
      <c r="L328" s="223"/>
      <c r="M328" s="350"/>
      <c r="N328" s="343"/>
      <c r="O328" s="1633"/>
      <c r="P328" s="1633"/>
      <c r="AH328" s="1640">
        <v>0</v>
      </c>
    </row>
    <row s="1644" customFormat="1" customHeight="1" ht="1.05">
      <c r="A329" s="1789"/>
      <c r="B329" s="1789"/>
      <c r="C329" s="378" t="s">
        <v>1256</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82</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57F3C-E6A4-23CF-B296-0.5B579E1A}"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121</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4"/>
      <c r="F5" s="2464"/>
      <c r="G5" s="2465"/>
      <c r="H5" s="275"/>
      <c r="R5" s="383">
        <v>33</v>
      </c>
    </row>
    <row s="1644" customFormat="1" customHeight="1" ht="18">
      <c r="A6" s="1678"/>
      <c r="B6" s="1169"/>
      <c r="C6" s="385"/>
      <c r="D6" s="2466" t="str">
        <f>IF(org=0,"Не определено",org)</f>
        <v>ООО "СамРЭК-Тепло Жигулевск"</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373</v>
      </c>
      <c r="E8" s="2218"/>
      <c r="F8" s="2218"/>
      <c r="G8" s="2218"/>
      <c r="H8" s="2398" t="s">
        <v>374</v>
      </c>
      <c r="R8" s="383">
        <v>14</v>
      </c>
    </row>
    <row customHeight="1" ht="24">
      <c r="C9" s="385"/>
      <c r="D9" s="395" t="s">
        <v>88</v>
      </c>
      <c r="E9" s="117" t="s">
        <v>375</v>
      </c>
      <c r="F9" s="117" t="s">
        <v>376</v>
      </c>
      <c r="G9" s="117" t="s">
        <v>463</v>
      </c>
      <c r="H9" s="2398"/>
      <c r="R9" s="383">
        <v>23</v>
      </c>
    </row>
    <row customHeight="1" ht="14.699999999999998">
      <c r="A10" s="352"/>
      <c r="C10" s="385"/>
      <c r="D10" s="156" t="s">
        <v>109</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6"/>
      <c r="G10" s="222"/>
      <c r="H10" s="2178" t="s">
        <v>1257</v>
      </c>
      <c r="R10" s="383">
        <v>14</v>
      </c>
    </row>
    <row customHeight="1" ht="14.699999999999998">
      <c r="A11" s="352"/>
      <c r="C11" s="385"/>
      <c r="D11" s="156" t="s">
        <v>110</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6"/>
      <c r="G11" s="222"/>
      <c r="H11" s="2179"/>
      <c r="R11" s="383">
        <v>14</v>
      </c>
    </row>
    <row customHeight="1" ht="14.699999999999998">
      <c r="A12" s="111"/>
      <c r="C12" s="396"/>
      <c r="D12" s="156" t="s">
        <v>90</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9"/>
      <c r="K12" s="383"/>
      <c r="R12" s="383">
        <v>14</v>
      </c>
    </row>
    <row customHeight="1" ht="14.699999999999998">
      <c r="A13" s="111"/>
      <c r="C13" s="396"/>
      <c r="D13" s="156" t="s">
        <v>91</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395</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82</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859AD-AC38-450E-0733-0.2F6670DF}"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customWidth="1"/>
    <col min="21" max="21" style="1862" width="5.7109375" customWidth="1"/>
    <col min="22" max="22" style="1862" width="34.421875"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ООО "СамРЭК-Тепло Жигулевск"</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88</v>
      </c>
      <c r="E9" s="2110" t="s">
        <v>203</v>
      </c>
      <c r="F9" s="2112"/>
      <c r="G9" s="2136" t="s">
        <v>105</v>
      </c>
      <c r="H9" s="2136" t="s">
        <v>88</v>
      </c>
      <c r="I9" s="2136"/>
      <c r="J9" s="2136" t="s">
        <v>204</v>
      </c>
      <c r="K9" s="2164" t="s">
        <v>205</v>
      </c>
      <c r="L9" s="2164"/>
      <c r="M9" s="2164"/>
      <c r="N9" s="2164"/>
      <c r="O9" s="2164" t="s">
        <v>206</v>
      </c>
      <c r="P9" s="2164"/>
      <c r="Q9" s="2164"/>
      <c r="R9" s="2164"/>
      <c r="S9" s="2164" t="s">
        <v>207</v>
      </c>
      <c r="T9" s="2164"/>
      <c r="U9" s="2164"/>
      <c r="V9" s="2164"/>
      <c r="W9" s="2136" t="s">
        <v>208</v>
      </c>
      <c r="AR9" s="113">
        <v>27</v>
      </c>
    </row>
    <row customHeight="1" ht="31.5">
      <c r="D10" s="2136"/>
      <c r="E10" s="1293" t="s">
        <v>89</v>
      </c>
      <c r="F10" s="1293" t="s">
        <v>209</v>
      </c>
      <c r="G10" s="2136"/>
      <c r="H10" s="2136"/>
      <c r="I10" s="2136"/>
      <c r="J10" s="2136"/>
      <c r="K10" s="119" t="s">
        <v>108</v>
      </c>
      <c r="L10" s="2136" t="s">
        <v>88</v>
      </c>
      <c r="M10" s="2136"/>
      <c r="N10" s="119" t="s">
        <v>210</v>
      </c>
      <c r="O10" s="119" t="s">
        <v>108</v>
      </c>
      <c r="P10" s="2136" t="s">
        <v>88</v>
      </c>
      <c r="Q10" s="2136"/>
      <c r="R10" s="119" t="s">
        <v>210</v>
      </c>
      <c r="S10" s="292" t="s">
        <v>108</v>
      </c>
      <c r="T10" s="2136" t="s">
        <v>88</v>
      </c>
      <c r="U10" s="2136"/>
      <c r="V10" s="292" t="s">
        <v>89</v>
      </c>
      <c r="W10" s="2136"/>
      <c r="Z10" s="1268" t="s">
        <v>211</v>
      </c>
      <c r="AA10" s="1268" t="s">
        <v>212</v>
      </c>
      <c r="AB10" s="1268" t="s">
        <v>213</v>
      </c>
      <c r="AC10" s="1268" t="s">
        <v>214</v>
      </c>
      <c r="AD10" s="1268" t="s">
        <v>215</v>
      </c>
      <c r="AE10" s="1268" t="s">
        <v>216</v>
      </c>
      <c r="AF10" s="1268" t="s">
        <v>217</v>
      </c>
      <c r="AG10" s="1268" t="s">
        <v>218</v>
      </c>
      <c r="AH10" s="1268" t="s">
        <v>219</v>
      </c>
      <c r="AI10" s="1268" t="s">
        <v>220</v>
      </c>
      <c r="AJ10" s="1268" t="s">
        <v>221</v>
      </c>
      <c r="AK10" s="1268" t="s">
        <v>222</v>
      </c>
      <c r="AL10" s="1268" t="s">
        <v>223</v>
      </c>
      <c r="AM10" s="1268" t="s">
        <v>224</v>
      </c>
      <c r="AN10" s="1268" t="s">
        <v>225</v>
      </c>
      <c r="AO10" s="1268" t="s">
        <v>226</v>
      </c>
      <c r="AP10" s="1268" t="s">
        <v>227</v>
      </c>
      <c r="AQ10" s="1268" t="s">
        <v>228</v>
      </c>
      <c r="AR10" s="113">
        <v>30</v>
      </c>
    </row>
    <row s="1633" customFormat="1" customHeight="1" ht="12" hidden="1">
      <c r="D11" s="1258" t="s">
        <v>109</v>
      </c>
      <c r="E11" s="1258" t="s">
        <v>110</v>
      </c>
      <c r="F11" s="1258"/>
      <c r="G11" s="1258" t="s">
        <v>90</v>
      </c>
      <c r="H11" s="2165" t="s">
        <v>111</v>
      </c>
      <c r="I11" s="2165"/>
      <c r="J11" s="1258" t="s">
        <v>92</v>
      </c>
      <c r="K11" s="1258" t="s">
        <v>93</v>
      </c>
      <c r="L11" s="2165" t="s">
        <v>112</v>
      </c>
      <c r="M11" s="2165"/>
      <c r="N11" s="1258" t="s">
        <v>136</v>
      </c>
      <c r="O11" s="1258" t="s">
        <v>139</v>
      </c>
      <c r="P11" s="2165" t="s">
        <v>142</v>
      </c>
      <c r="Q11" s="2165"/>
      <c r="R11" s="1258" t="s">
        <v>145</v>
      </c>
      <c r="S11" s="1258" t="s">
        <v>142</v>
      </c>
      <c r="T11" s="2165" t="s">
        <v>145</v>
      </c>
      <c r="U11" s="2165"/>
      <c r="V11" s="1258" t="s">
        <v>148</v>
      </c>
      <c r="W11" s="1258" t="s">
        <v>151</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229</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230</v>
      </c>
      <c r="AD13" s="1276" t="s">
        <v>231</v>
      </c>
      <c r="AE13" s="1276" t="s">
        <v>232</v>
      </c>
      <c r="AF13" s="1276" t="s">
        <v>233</v>
      </c>
      <c r="AG13" s="1276" t="s">
        <v>234</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235</v>
      </c>
      <c r="AD18" s="1276" t="s">
        <v>236</v>
      </c>
      <c r="AE18" s="1276" t="s">
        <v>237</v>
      </c>
      <c r="AF18" s="1276" t="s">
        <v>238</v>
      </c>
      <c r="AG18" s="1276" t="s">
        <v>239</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240</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235</v>
      </c>
      <c r="AD23" s="1276" t="s">
        <v>236</v>
      </c>
      <c r="AE23" s="1276" t="s">
        <v>237</v>
      </c>
      <c r="AF23" s="1276" t="s">
        <v>238</v>
      </c>
      <c r="AG23" s="1276" t="s">
        <v>239</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241</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242</v>
      </c>
      <c r="AD28" s="1276" t="s">
        <v>243</v>
      </c>
      <c r="AE28" s="1276" t="s">
        <v>244</v>
      </c>
      <c r="AF28" s="1276" t="s">
        <v>245</v>
      </c>
      <c r="AG28" s="1276" t="s">
        <v>246</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247</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248</v>
      </c>
      <c r="AD33" s="1276" t="s">
        <v>249</v>
      </c>
      <c r="AE33" s="1276" t="s">
        <v>250</v>
      </c>
      <c r="AF33" s="1276" t="s">
        <v>251</v>
      </c>
      <c r="AG33" s="1276" t="s">
        <v>252</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253</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254</v>
      </c>
      <c r="AD38" s="1276" t="s">
        <v>255</v>
      </c>
      <c r="AE38" s="1276" t="s">
        <v>256</v>
      </c>
      <c r="AF38" s="1276" t="s">
        <v>257</v>
      </c>
      <c r="AG38" s="1276" t="s">
        <v>258</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259</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260</v>
      </c>
      <c r="AD43" s="1276" t="s">
        <v>261</v>
      </c>
      <c r="AE43" s="1276" t="s">
        <v>262</v>
      </c>
      <c r="AF43" s="1276" t="s">
        <v>263</v>
      </c>
      <c r="AG43" s="1276" t="s">
        <v>264</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265</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266</v>
      </c>
      <c r="AD48" s="1276" t="s">
        <v>267</v>
      </c>
      <c r="AE48" s="1276" t="s">
        <v>268</v>
      </c>
      <c r="AF48" s="1276" t="s">
        <v>269</v>
      </c>
      <c r="AG48" s="1276" t="s">
        <v>270</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271</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272</v>
      </c>
      <c r="AD53" s="1276" t="s">
        <v>273</v>
      </c>
      <c r="AE53" s="1276" t="s">
        <v>274</v>
      </c>
      <c r="AF53" s="1276" t="s">
        <v>275</v>
      </c>
      <c r="AG53" s="1276" t="s">
        <v>276</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277</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278</v>
      </c>
      <c r="AD58" s="1276" t="s">
        <v>279</v>
      </c>
      <c r="AE58" s="1276" t="s">
        <v>280</v>
      </c>
      <c r="AF58" s="1276" t="s">
        <v>281</v>
      </c>
      <c r="AG58" s="1276" t="s">
        <v>282</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283</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284</v>
      </c>
      <c r="AD63" s="1276" t="s">
        <v>285</v>
      </c>
      <c r="AE63" s="1276" t="s">
        <v>286</v>
      </c>
      <c r="AF63" s="1276" t="s">
        <v>287</v>
      </c>
      <c r="AG63" s="1276" t="s">
        <v>288</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289</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290</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291</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292</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293</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294</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295</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296</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297</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298</v>
      </c>
      <c r="AD79" s="1276" t="s">
        <v>299</v>
      </c>
      <c r="AE79" s="1276" t="s">
        <v>300</v>
      </c>
      <c r="AF79" s="1276" t="s">
        <v>301</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302</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303</v>
      </c>
      <c r="AD84" s="1276" t="s">
        <v>304</v>
      </c>
      <c r="AE84" s="1276" t="s">
        <v>305</v>
      </c>
      <c r="AF84" s="1276" t="s">
        <v>306</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307</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308</v>
      </c>
      <c r="AD89" s="1276" t="s">
        <v>309</v>
      </c>
      <c r="AE89" s="1276" t="s">
        <v>310</v>
      </c>
      <c r="AF89" s="1276" t="s">
        <v>311</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312</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313</v>
      </c>
      <c r="AD94" s="1276" t="s">
        <v>314</v>
      </c>
      <c r="AE94" s="1276" t="s">
        <v>315</v>
      </c>
      <c r="AF94" s="1276" t="s">
        <v>316</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317</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318</v>
      </c>
      <c r="AD99" s="1276" t="s">
        <v>319</v>
      </c>
      <c r="AE99" s="1276" t="s">
        <v>320</v>
      </c>
      <c r="AF99" s="1276" t="s">
        <v>321</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322</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323</v>
      </c>
      <c r="AD105" s="1276" t="s">
        <v>324</v>
      </c>
      <c r="AE105" s="1276" t="s">
        <v>325</v>
      </c>
      <c r="AF105" s="1276" t="s">
        <v>326</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327</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328</v>
      </c>
      <c r="AD110" s="1276" t="s">
        <v>329</v>
      </c>
      <c r="AE110" s="1276" t="s">
        <v>330</v>
      </c>
      <c r="AF110" s="1276" t="s">
        <v>331</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332</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333</v>
      </c>
      <c r="AD115" s="1276" t="s">
        <v>334</v>
      </c>
      <c r="AE115" s="1276" t="s">
        <v>335</v>
      </c>
      <c r="AF115" s="1276" t="s">
        <v>336</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337</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338</v>
      </c>
      <c r="AD121" s="1276" t="s">
        <v>339</v>
      </c>
      <c r="AE121" s="1276" t="s">
        <v>340</v>
      </c>
      <c r="AF121" s="1276" t="s">
        <v>341</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342</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343</v>
      </c>
      <c r="AD126" s="1276" t="s">
        <v>344</v>
      </c>
      <c r="AE126" s="1276" t="s">
        <v>345</v>
      </c>
      <c r="AF126" s="1276" t="s">
        <v>346</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347</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348</v>
      </c>
      <c r="AD131" s="1276" t="s">
        <v>349</v>
      </c>
      <c r="AE131" s="1276" t="s">
        <v>350</v>
      </c>
      <c r="AF131" s="1276" t="s">
        <v>351</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82</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7E834-DE3B-D6D4-2C98-0.4C0B03EC}" mc:Ignorable="x14ac xr xr2 xr3">
  <sheetPr>
    <tabColor theme="2" tint="-0.1"/>
  </sheetPr>
  <dimension ref="A1:CD30"/>
  <sheetViews>
    <sheetView topLeftCell="A1" showGridLines="0" zoomScale="90" workbookViewId="0">
      <selection activeCell="BS8" sqref="BS8"/>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644" width="25.7109375" customWidth="1"/>
    <col min="12" max="12" style="1644" width="34.00390625" customWidth="1"/>
    <col min="13" max="13" style="1644" width="25.7109375" customWidth="1"/>
    <col min="14" max="14" style="1644" width="34.00390625" customWidth="1"/>
    <col min="15" max="15" style="1644" width="25.7109375" customWidth="1"/>
    <col min="16" max="16" style="1644" width="34.00390625" customWidth="1"/>
    <col min="17" max="17" style="1644" width="25.7109375" customWidth="1"/>
    <col min="18" max="18" style="1644" width="34.00390625" customWidth="1"/>
    <col min="19" max="19" style="1644" width="25.7109375" customWidth="1"/>
    <col min="20" max="20" style="1644" width="34.00390625" customWidth="1"/>
    <col min="21" max="21" style="1644" width="25.7109375" customWidth="1"/>
    <col min="22" max="22" style="1644" width="34.00390625" customWidth="1"/>
    <col min="23" max="23" style="1644" width="25.7109375" customWidth="1"/>
    <col min="24" max="24" style="1644" width="34.00390625" customWidth="1"/>
    <col min="25" max="25" style="1644" width="25.7109375" customWidth="1"/>
    <col min="26" max="26" style="1644" width="34.00390625" customWidth="1"/>
    <col min="27" max="27" style="1644" width="25.7109375" customWidth="1"/>
    <col min="28" max="28" style="1644" width="34.00390625" customWidth="1"/>
    <col min="29" max="29" style="1644" width="25.7109375" customWidth="1"/>
    <col min="30" max="30" style="1644" width="34.00390625" customWidth="1"/>
    <col min="31" max="31" style="1644" width="25.7109375" customWidth="1"/>
    <col min="32" max="32" style="1644" width="34.00390625" customWidth="1"/>
    <col min="33" max="33" style="1644" width="25.7109375" customWidth="1"/>
    <col min="34" max="34" style="1644" width="34.00390625" customWidth="1"/>
    <col min="35" max="35" style="1644" width="25.7109375" customWidth="1"/>
    <col min="36" max="36" style="1644" width="34.00390625" customWidth="1"/>
    <col min="37" max="37" style="1644" width="25.7109375" customWidth="1"/>
    <col min="38" max="38" style="1644" width="34.00390625" customWidth="1"/>
    <col min="39" max="39" style="1644" width="25.7109375" customWidth="1"/>
    <col min="40" max="40" style="1644" width="34.00390625" customWidth="1"/>
    <col min="41" max="41" style="1644" width="25.7109375" customWidth="1"/>
    <col min="42" max="42" style="1644" width="34.00390625" customWidth="1"/>
    <col min="43" max="43" style="1644" width="25.7109375" customWidth="1"/>
    <col min="44" max="44" style="1644" width="34.00390625" customWidth="1"/>
    <col min="45" max="45" style="1644" width="25.7109375" customWidth="1"/>
    <col min="46" max="46" style="1644" width="34.00390625" customWidth="1"/>
    <col min="47" max="47" style="1644" width="25.7109375" customWidth="1"/>
    <col min="48" max="48" style="1644" width="34.00390625" customWidth="1"/>
    <col min="49" max="49" style="1644" width="25.7109375" customWidth="1"/>
    <col min="50" max="50" style="1644" width="34.00390625" customWidth="1"/>
    <col min="51" max="51" style="1644" width="25.7109375" customWidth="1"/>
    <col min="52" max="52" style="1644" width="34.00390625" customWidth="1"/>
    <col min="53" max="53" style="1644" width="25.7109375" customWidth="1"/>
    <col min="54" max="54" style="1644" width="34.00390625" customWidth="1"/>
    <col min="55" max="55" style="1644" width="25.7109375" customWidth="1"/>
    <col min="56" max="56" style="1644" width="34.00390625" customWidth="1"/>
    <col min="57" max="57" style="1644" width="25.7109375" customWidth="1"/>
    <col min="58" max="58" style="1644" width="34.00390625" customWidth="1"/>
    <col min="59" max="59" style="1644" width="25.7109375" customWidth="1"/>
    <col min="60" max="60" style="1644" width="34.00390625" customWidth="1"/>
    <col min="61" max="61" style="1644" width="25.7109375" customWidth="1"/>
    <col min="62" max="62" style="1644" width="34.00390625" customWidth="1"/>
    <col min="63" max="63" style="1644" width="25.7109375" customWidth="1"/>
    <col min="64" max="64" style="1644" width="34.00390625" customWidth="1"/>
    <col min="65" max="65" style="1644" width="25.7109375" customWidth="1"/>
    <col min="66" max="66" style="1644" width="34.00390625" customWidth="1"/>
    <col min="67" max="67" style="1644" width="25.7109375" customWidth="1"/>
    <col min="68" max="68" style="1644" width="34.00390625" customWidth="1"/>
    <col min="69" max="69" style="1644" width="25.7109375" customWidth="1"/>
    <col min="70" max="70" style="1644" width="34.00390625" customWidth="1"/>
    <col min="71" max="71" style="1375" width="50.00390625" customWidth="1"/>
    <col min="72" max="80" style="1644" width="10.00390625" customWidth="1"/>
    <col min="81" max="81" style="684" width="10.00390625" customWidth="1"/>
    <col min="82" max="82"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M1" s="1375">
        <v>4</v>
      </c>
      <c r="AN1" s="1375"/>
      <c r="AO1" s="1375">
        <v>4</v>
      </c>
      <c r="AP1" s="1375"/>
      <c r="AQ1" s="1375">
        <v>4</v>
      </c>
      <c r="AR1" s="1375"/>
      <c r="AS1" s="1375">
        <v>4</v>
      </c>
      <c r="AT1" s="1375"/>
      <c r="AU1" s="1375">
        <v>4</v>
      </c>
      <c r="AV1" s="1375"/>
      <c r="AW1" s="1375">
        <v>4</v>
      </c>
      <c r="AX1" s="1375"/>
      <c r="AY1" s="1375">
        <v>4</v>
      </c>
      <c r="AZ1" s="1375"/>
      <c r="BA1" s="1375">
        <v>4</v>
      </c>
      <c r="BB1" s="1375"/>
      <c r="BC1" s="1375">
        <v>4</v>
      </c>
      <c r="BD1" s="1375"/>
      <c r="BE1" s="1375">
        <v>4</v>
      </c>
      <c r="BF1" s="1375"/>
      <c r="BG1" s="1375">
        <v>4</v>
      </c>
      <c r="BH1" s="1375"/>
      <c r="BI1" s="1375">
        <v>4</v>
      </c>
      <c r="BJ1" s="1375"/>
      <c r="BK1" s="1375">
        <v>4</v>
      </c>
      <c r="BL1" s="1375"/>
      <c r="BM1" s="1375">
        <v>4</v>
      </c>
      <c r="BN1" s="1375"/>
      <c r="BO1" s="1375">
        <v>4</v>
      </c>
      <c r="BP1" s="1375"/>
      <c r="BQ1" s="1375">
        <v>4</v>
      </c>
      <c r="BR1" s="1375"/>
      <c r="CC1" s="429"/>
      <c r="CD1" s="426" t="s">
        <v>14</v>
      </c>
    </row>
    <row s="1644" customFormat="1" customHeight="1" ht="15" hidden="1">
      <c r="A2" s="371"/>
      <c r="C2" s="185"/>
      <c r="D2" s="355"/>
      <c r="E2" s="682"/>
      <c r="F2" s="531"/>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5"/>
      <c r="AS2" s="625"/>
      <c r="AT2" s="625"/>
      <c r="AU2" s="625"/>
      <c r="AV2" s="625"/>
      <c r="AW2" s="625"/>
      <c r="AX2" s="625"/>
      <c r="AY2" s="625"/>
      <c r="AZ2" s="625"/>
      <c r="BA2" s="625"/>
      <c r="BB2" s="625"/>
      <c r="BC2" s="625"/>
      <c r="BD2" s="625"/>
      <c r="BE2" s="625"/>
      <c r="BF2" s="625"/>
      <c r="BG2" s="625"/>
      <c r="BH2" s="625"/>
      <c r="BI2" s="625"/>
      <c r="BJ2" s="625"/>
      <c r="BK2" s="625"/>
      <c r="BL2" s="625"/>
      <c r="BM2" s="625"/>
      <c r="BN2" s="625"/>
      <c r="BO2" s="625"/>
      <c r="BP2" s="625"/>
      <c r="BQ2" s="625"/>
      <c r="BR2" s="625"/>
      <c r="CC2" s="683"/>
      <c r="CD2" s="518">
        <v>0</v>
      </c>
    </row>
    <row s="1375" customFormat="1" customHeight="1" ht="15" hidden="1">
      <c r="C3" s="681"/>
      <c r="K3" s="1375"/>
      <c r="L3" s="1375"/>
      <c r="M3" s="1375"/>
      <c r="N3" s="1375"/>
      <c r="O3" s="1375"/>
      <c r="P3" s="1375"/>
      <c r="Q3" s="1375"/>
      <c r="R3" s="1375"/>
      <c r="S3" s="1375"/>
      <c r="T3" s="1375"/>
      <c r="U3" s="1375"/>
      <c r="V3" s="1375"/>
      <c r="W3" s="1375"/>
      <c r="X3" s="1375"/>
      <c r="Y3" s="1375"/>
      <c r="Z3" s="1375"/>
      <c r="AA3" s="1375"/>
      <c r="AB3" s="1375"/>
      <c r="AC3" s="1375"/>
      <c r="AD3" s="1375"/>
      <c r="AE3" s="1375"/>
      <c r="AF3" s="1375"/>
      <c r="AG3" s="1375"/>
      <c r="AH3" s="1375"/>
      <c r="AI3" s="1375"/>
      <c r="AJ3" s="1375"/>
      <c r="AK3" s="1375"/>
      <c r="AL3" s="1375"/>
      <c r="AM3" s="1375"/>
      <c r="AN3" s="1375"/>
      <c r="AO3" s="1375"/>
      <c r="AP3" s="1375"/>
      <c r="AQ3" s="1375"/>
      <c r="AR3" s="1375"/>
      <c r="AS3" s="1375"/>
      <c r="AT3" s="1375"/>
      <c r="AU3" s="1375"/>
      <c r="AV3" s="1375"/>
      <c r="AW3" s="1375"/>
      <c r="AX3" s="1375"/>
      <c r="AY3" s="1375"/>
      <c r="AZ3" s="1375"/>
      <c r="BA3" s="1375"/>
      <c r="BB3" s="1375"/>
      <c r="BC3" s="1375"/>
      <c r="BD3" s="1375"/>
      <c r="BE3" s="1375"/>
      <c r="BF3" s="1375"/>
      <c r="BG3" s="1375"/>
      <c r="BH3" s="1375"/>
      <c r="BI3" s="1375"/>
      <c r="BJ3" s="1375"/>
      <c r="BK3" s="1375"/>
      <c r="BL3" s="1375"/>
      <c r="BM3" s="1375"/>
      <c r="BN3" s="1375"/>
      <c r="BO3" s="1375"/>
      <c r="BP3" s="1375"/>
      <c r="BQ3" s="1375"/>
      <c r="BR3" s="1375"/>
      <c r="CC3" s="429"/>
      <c r="CD3" s="426">
        <v>0</v>
      </c>
    </row>
    <row customHeight="1" ht="15.75">
      <c r="C4" s="185"/>
      <c r="D4" s="518"/>
      <c r="E4" s="518"/>
      <c r="F4" s="518"/>
      <c r="G4" s="518"/>
      <c r="H4" s="518"/>
      <c r="I4" s="518"/>
      <c r="J4" s="518"/>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M4" s="1644"/>
      <c r="AN4" s="1644"/>
      <c r="AO4" s="1644"/>
      <c r="AP4" s="1644"/>
      <c r="AQ4" s="1644"/>
      <c r="AR4" s="1644"/>
      <c r="AS4" s="1644"/>
      <c r="AT4" s="1644"/>
      <c r="AU4" s="1644"/>
      <c r="AV4" s="1644"/>
      <c r="AW4" s="1644"/>
      <c r="AX4" s="1644"/>
      <c r="AY4" s="1644"/>
      <c r="AZ4" s="1644"/>
      <c r="BA4" s="1644"/>
      <c r="BB4" s="1644"/>
      <c r="BC4" s="1644"/>
      <c r="BD4" s="1644"/>
      <c r="BE4" s="1644"/>
      <c r="BF4" s="1644"/>
      <c r="BG4" s="1644"/>
      <c r="BH4" s="1644"/>
      <c r="BI4" s="1644"/>
      <c r="BJ4" s="1644"/>
      <c r="BK4" s="1644"/>
      <c r="BL4" s="1644"/>
      <c r="BM4" s="1644"/>
      <c r="BN4" s="1644"/>
      <c r="BO4" s="1644"/>
      <c r="BP4" s="1644"/>
      <c r="BQ4" s="1644"/>
      <c r="BR4" s="1644"/>
      <c r="CD4" s="514">
        <v>15</v>
      </c>
    </row>
    <row customHeight="1" ht="66">
      <c r="C5" s="185"/>
      <c r="D5" s="2246" t="s">
        <v>1258</v>
      </c>
      <c r="E5" s="2246"/>
      <c r="F5" s="2246"/>
      <c r="G5" s="2246"/>
      <c r="H5" s="2246"/>
      <c r="I5" s="2246"/>
      <c r="J5" s="2246"/>
      <c r="K5" s="2257"/>
      <c r="L5" s="2257"/>
      <c r="M5" s="2257"/>
      <c r="N5" s="2257"/>
      <c r="O5" s="2257"/>
      <c r="P5" s="2257"/>
      <c r="Q5" s="2257"/>
      <c r="R5" s="2257"/>
      <c r="S5" s="2257"/>
      <c r="T5" s="2257"/>
      <c r="U5" s="2257"/>
      <c r="V5" s="2257"/>
      <c r="W5" s="2257"/>
      <c r="X5" s="2257"/>
      <c r="Y5" s="2257"/>
      <c r="Z5" s="2257"/>
      <c r="AA5" s="2257"/>
      <c r="AB5" s="2257"/>
      <c r="AC5" s="2257"/>
      <c r="AD5" s="2257"/>
      <c r="AE5" s="2257"/>
      <c r="AF5" s="2257"/>
      <c r="AG5" s="2257"/>
      <c r="AH5" s="2257"/>
      <c r="AI5" s="2257"/>
      <c r="AJ5" s="2257"/>
      <c r="AK5" s="2257"/>
      <c r="AL5" s="2257"/>
      <c r="AM5" s="2257"/>
      <c r="AN5" s="2257"/>
      <c r="AO5" s="2257"/>
      <c r="AP5" s="2257"/>
      <c r="AQ5" s="2257"/>
      <c r="AR5" s="2257"/>
      <c r="AS5" s="2257"/>
      <c r="AT5" s="2257"/>
      <c r="AU5" s="2257"/>
      <c r="AV5" s="2257"/>
      <c r="AW5" s="2257"/>
      <c r="AX5" s="2257"/>
      <c r="AY5" s="2257"/>
      <c r="AZ5" s="2257"/>
      <c r="BA5" s="2257"/>
      <c r="BB5" s="2257"/>
      <c r="BC5" s="2257"/>
      <c r="BD5" s="2257"/>
      <c r="BE5" s="2257"/>
      <c r="BF5" s="2257"/>
      <c r="BG5" s="2257"/>
      <c r="BH5" s="2257"/>
      <c r="BI5" s="2257"/>
      <c r="BJ5" s="2257"/>
      <c r="BK5" s="2257"/>
      <c r="BL5" s="2257"/>
      <c r="BM5" s="2257"/>
      <c r="BN5" s="2257"/>
      <c r="BO5" s="2257"/>
      <c r="BP5" s="2257"/>
      <c r="BQ5" s="2257"/>
      <c r="BR5" s="2257"/>
      <c r="CD5" s="514">
        <v>63</v>
      </c>
    </row>
    <row customHeight="1" ht="15.75">
      <c r="C6" s="185"/>
      <c r="D6" s="2185" t="str">
        <f>IF(org=0,"Не определено",org)</f>
        <v>ООО "СамРЭК-Тепло Жигулевск"</v>
      </c>
      <c r="E6" s="2185"/>
      <c r="F6" s="2185"/>
      <c r="G6" s="2185"/>
      <c r="H6" s="2185"/>
      <c r="I6" s="2185"/>
      <c r="J6" s="2185"/>
      <c r="K6" s="2258"/>
      <c r="L6" s="2258"/>
      <c r="M6" s="2258"/>
      <c r="N6" s="2258"/>
      <c r="O6" s="2258"/>
      <c r="P6" s="2258"/>
      <c r="Q6" s="2258"/>
      <c r="R6" s="2258"/>
      <c r="S6" s="2258"/>
      <c r="T6" s="2258"/>
      <c r="U6" s="2258"/>
      <c r="V6" s="2258"/>
      <c r="W6" s="2258"/>
      <c r="X6" s="2258"/>
      <c r="Y6" s="2258"/>
      <c r="Z6" s="2258"/>
      <c r="AA6" s="2258"/>
      <c r="AB6" s="2258"/>
      <c r="AC6" s="2258"/>
      <c r="AD6" s="2258"/>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8"/>
      <c r="BC6" s="2258"/>
      <c r="BD6" s="2258"/>
      <c r="BE6" s="2258"/>
      <c r="BF6" s="2258"/>
      <c r="BG6" s="2258"/>
      <c r="BH6" s="2258"/>
      <c r="BI6" s="2258"/>
      <c r="BJ6" s="2258"/>
      <c r="BK6" s="2258"/>
      <c r="BL6" s="2258"/>
      <c r="BM6" s="2258"/>
      <c r="BN6" s="2258"/>
      <c r="BO6" s="2258"/>
      <c r="BP6" s="2258"/>
      <c r="BQ6" s="2258"/>
      <c r="BR6" s="2258"/>
      <c r="BS6" s="546"/>
      <c r="CD6" s="514">
        <v>15</v>
      </c>
    </row>
    <row customHeight="1" ht="15.75">
      <c r="C7" s="185"/>
      <c r="D7" s="761"/>
      <c r="E7" s="518"/>
      <c r="F7" s="518"/>
      <c r="G7" s="546">
        <v>22</v>
      </c>
      <c r="I7" s="546">
        <v>1</v>
      </c>
      <c r="J7" s="761"/>
      <c r="K7" s="1375" t="s">
        <v>22</v>
      </c>
      <c r="L7" s="1644"/>
      <c r="M7" s="1375" t="s">
        <v>22</v>
      </c>
      <c r="N7" s="1644"/>
      <c r="O7" s="1375" t="s">
        <v>22</v>
      </c>
      <c r="P7" s="1644"/>
      <c r="Q7" s="1375" t="s">
        <v>22</v>
      </c>
      <c r="R7" s="1644"/>
      <c r="S7" s="1375" t="s">
        <v>22</v>
      </c>
      <c r="T7" s="1644"/>
      <c r="U7" s="1375" t="s">
        <v>22</v>
      </c>
      <c r="V7" s="1644"/>
      <c r="W7" s="1375" t="s">
        <v>22</v>
      </c>
      <c r="X7" s="1644"/>
      <c r="Y7" s="1375" t="s">
        <v>22</v>
      </c>
      <c r="Z7" s="1644"/>
      <c r="AA7" s="1375" t="s">
        <v>22</v>
      </c>
      <c r="AB7" s="1644"/>
      <c r="AC7" s="1375" t="s">
        <v>22</v>
      </c>
      <c r="AD7" s="1644"/>
      <c r="AE7" s="1375" t="s">
        <v>22</v>
      </c>
      <c r="AF7" s="1644"/>
      <c r="AG7" s="1375" t="s">
        <v>22</v>
      </c>
      <c r="AH7" s="1644"/>
      <c r="AI7" s="1375" t="s">
        <v>22</v>
      </c>
      <c r="AJ7" s="1644"/>
      <c r="AK7" s="1375" t="s">
        <v>22</v>
      </c>
      <c r="AL7" s="1644"/>
      <c r="AM7" s="1375" t="s">
        <v>22</v>
      </c>
      <c r="AN7" s="1644"/>
      <c r="AO7" s="1375" t="s">
        <v>22</v>
      </c>
      <c r="AP7" s="1644"/>
      <c r="AQ7" s="1375" t="s">
        <v>22</v>
      </c>
      <c r="AR7" s="1644"/>
      <c r="AS7" s="1375" t="s">
        <v>22</v>
      </c>
      <c r="AT7" s="1644"/>
      <c r="AU7" s="1375" t="s">
        <v>22</v>
      </c>
      <c r="AV7" s="1644"/>
      <c r="AW7" s="1375" t="s">
        <v>22</v>
      </c>
      <c r="AX7" s="1644"/>
      <c r="AY7" s="1375" t="s">
        <v>22</v>
      </c>
      <c r="AZ7" s="1644"/>
      <c r="BA7" s="1375" t="s">
        <v>22</v>
      </c>
      <c r="BB7" s="1644"/>
      <c r="BC7" s="1375" t="s">
        <v>22</v>
      </c>
      <c r="BD7" s="1644"/>
      <c r="BE7" s="1375" t="s">
        <v>22</v>
      </c>
      <c r="BF7" s="1644"/>
      <c r="BG7" s="1375" t="s">
        <v>22</v>
      </c>
      <c r="BH7" s="1644"/>
      <c r="BI7" s="1375" t="s">
        <v>22</v>
      </c>
      <c r="BJ7" s="1644"/>
      <c r="BK7" s="1375" t="s">
        <v>22</v>
      </c>
      <c r="BL7" s="1644"/>
      <c r="BM7" s="1375" t="s">
        <v>22</v>
      </c>
      <c r="BN7" s="1644"/>
      <c r="BO7" s="1375" t="s">
        <v>22</v>
      </c>
      <c r="BP7" s="1644"/>
      <c r="BQ7" s="1375" t="s">
        <v>22</v>
      </c>
      <c r="BR7" s="1644"/>
      <c r="CD7" s="514">
        <v>15</v>
      </c>
    </row>
    <row s="1644" customFormat="1" customHeight="1" ht="1.05">
      <c r="A8" s="768"/>
      <c r="C8" s="185"/>
      <c r="D8" s="518"/>
      <c r="E8" s="518"/>
      <c r="F8" s="518"/>
      <c r="G8" s="546"/>
      <c r="H8" s="761"/>
      <c r="I8" s="546" t="s">
        <v>118</v>
      </c>
      <c r="J8" s="761"/>
      <c r="K8" s="1375" t="s">
        <v>123</v>
      </c>
      <c r="L8" s="761"/>
      <c r="M8" s="1375" t="s">
        <v>125</v>
      </c>
      <c r="N8" s="761"/>
      <c r="O8" s="1375" t="s">
        <v>127</v>
      </c>
      <c r="P8" s="761"/>
      <c r="Q8" s="1375" t="s">
        <v>129</v>
      </c>
      <c r="R8" s="761"/>
      <c r="S8" s="1375" t="s">
        <v>131</v>
      </c>
      <c r="T8" s="761"/>
      <c r="U8" s="1375" t="s">
        <v>133</v>
      </c>
      <c r="V8" s="761"/>
      <c r="W8" s="1375" t="s">
        <v>135</v>
      </c>
      <c r="X8" s="761"/>
      <c r="Y8" s="1375" t="s">
        <v>138</v>
      </c>
      <c r="Z8" s="761"/>
      <c r="AA8" s="1375" t="s">
        <v>141</v>
      </c>
      <c r="AB8" s="761"/>
      <c r="AC8" s="1375" t="s">
        <v>144</v>
      </c>
      <c r="AD8" s="761"/>
      <c r="AE8" s="1375" t="s">
        <v>147</v>
      </c>
      <c r="AF8" s="761"/>
      <c r="AG8" s="1375" t="s">
        <v>150</v>
      </c>
      <c r="AH8" s="761"/>
      <c r="AI8" s="1375" t="s">
        <v>153</v>
      </c>
      <c r="AJ8" s="761"/>
      <c r="AK8" s="1375" t="s">
        <v>156</v>
      </c>
      <c r="AL8" s="761"/>
      <c r="AM8" s="1375" t="s">
        <v>159</v>
      </c>
      <c r="AN8" s="761"/>
      <c r="AO8" s="1375" t="s">
        <v>162</v>
      </c>
      <c r="AP8" s="761"/>
      <c r="AQ8" s="1375" t="s">
        <v>165</v>
      </c>
      <c r="AR8" s="761"/>
      <c r="AS8" s="1375" t="s">
        <v>168</v>
      </c>
      <c r="AT8" s="761"/>
      <c r="AU8" s="1375" t="s">
        <v>171</v>
      </c>
      <c r="AV8" s="761"/>
      <c r="AW8" s="1375" t="s">
        <v>174</v>
      </c>
      <c r="AX8" s="761"/>
      <c r="AY8" s="1375" t="s">
        <v>177</v>
      </c>
      <c r="AZ8" s="761"/>
      <c r="BA8" s="1375" t="s">
        <v>180</v>
      </c>
      <c r="BB8" s="761"/>
      <c r="BC8" s="1375" t="s">
        <v>183</v>
      </c>
      <c r="BD8" s="761"/>
      <c r="BE8" s="1375" t="s">
        <v>186</v>
      </c>
      <c r="BF8" s="761"/>
      <c r="BG8" s="1375" t="s">
        <v>189</v>
      </c>
      <c r="BH8" s="761"/>
      <c r="BI8" s="1375" t="s">
        <v>192</v>
      </c>
      <c r="BJ8" s="761"/>
      <c r="BK8" s="1375" t="s">
        <v>195</v>
      </c>
      <c r="BL8" s="761"/>
      <c r="BM8" s="1375" t="s">
        <v>198</v>
      </c>
      <c r="BN8" s="761"/>
      <c r="BO8" s="1375" t="s">
        <v>200</v>
      </c>
      <c r="BP8" s="761"/>
      <c r="BQ8" s="1375" t="s">
        <v>201</v>
      </c>
      <c r="BR8" s="761"/>
      <c r="BS8" s="426"/>
      <c r="CC8" s="684"/>
      <c r="CD8" s="767">
        <v>1</v>
      </c>
    </row>
    <row customHeight="1" ht="15.75">
      <c r="C9" s="185"/>
      <c r="D9" s="720"/>
      <c r="E9" s="2376" t="s">
        <v>105</v>
      </c>
      <c r="F9" s="2377"/>
      <c r="G9" s="2404" t="str">
        <f>IF(G8="","",INDEX(DIFFERENTIATION_UNMERGE_VD,MATCH(G8,DIFFERENTIATION_ID_DIFF,0)))</f>
        <v/>
      </c>
      <c r="H9" s="2405"/>
      <c r="I9" s="2404" t="str">
        <f>IF(I8="","",INDEX(DIFFERENTIATION_UNMERGE_VD,MATCH(I8,DIFFERENTIATION_ID_DIFF,0)))</f>
        <v>Производство тепловой энергии. Некомбинированная выработка</v>
      </c>
      <c r="J9" s="2405"/>
      <c r="K9" s="2404" t="str">
        <f>IF(K8="","",INDEX(DIFFERENTIATION_UNMERGE_VD,MATCH(K8,DIFFERENTIATION_ID_DIFF,0)))</f>
        <v>Производство тепловой энергии. Некомбинированная выработка</v>
      </c>
      <c r="L9" s="2405"/>
      <c r="M9" s="2404" t="str">
        <f>IF(M8="","",INDEX(DIFFERENTIATION_UNMERGE_VD,MATCH(M8,DIFFERENTIATION_ID_DIFF,0)))</f>
        <v>Производство тепловой энергии. Некомбинированная выработка</v>
      </c>
      <c r="N9" s="2405"/>
      <c r="O9" s="2404" t="str">
        <f>IF(O8="","",INDEX(DIFFERENTIATION_UNMERGE_VD,MATCH(O8,DIFFERENTIATION_ID_DIFF,0)))</f>
        <v>Производство тепловой энергии. Некомбинированная выработка</v>
      </c>
      <c r="P9" s="2405"/>
      <c r="Q9" s="2404" t="str">
        <f>IF(Q8="","",INDEX(DIFFERENTIATION_UNMERGE_VD,MATCH(Q8,DIFFERENTIATION_ID_DIFF,0)))</f>
        <v>Производство тепловой энергии. Некомбинированная выработка</v>
      </c>
      <c r="R9" s="2405"/>
      <c r="S9" s="2404" t="str">
        <f>IF(S8="","",INDEX(DIFFERENTIATION_UNMERGE_VD,MATCH(S8,DIFFERENTIATION_ID_DIFF,0)))</f>
        <v>Производство тепловой энергии. Некомбинированная выработка</v>
      </c>
      <c r="T9" s="2405"/>
      <c r="U9" s="2404" t="str">
        <f>IF(U8="","",INDEX(DIFFERENTIATION_UNMERGE_VD,MATCH(U8,DIFFERENTIATION_ID_DIFF,0)))</f>
        <v>Производство тепловой энергии. Некомбинированная выработка</v>
      </c>
      <c r="V9" s="2405"/>
      <c r="W9" s="2404" t="str">
        <f>IF(W8="","",INDEX(DIFFERENTIATION_UNMERGE_VD,MATCH(W8,DIFFERENTIATION_ID_DIFF,0)))</f>
        <v>Производство тепловой энергии. Некомбинированная выработка</v>
      </c>
      <c r="X9" s="2405"/>
      <c r="Y9" s="2404" t="str">
        <f>IF(Y8="","",INDEX(DIFFERENTIATION_UNMERGE_VD,MATCH(Y8,DIFFERENTIATION_ID_DIFF,0)))</f>
        <v>Производство тепловой энергии. Некомбинированная выработка</v>
      </c>
      <c r="Z9" s="2405"/>
      <c r="AA9" s="2404" t="str">
        <f>IF(AA8="","",INDEX(DIFFERENTIATION_UNMERGE_VD,MATCH(AA8,DIFFERENTIATION_ID_DIFF,0)))</f>
        <v>Производство тепловой энергии. Некомбинированная выработка</v>
      </c>
      <c r="AB9" s="2405"/>
      <c r="AC9" s="2404" t="str">
        <f>IF(AC8="","",INDEX(DIFFERENTIATION_UNMERGE_VD,MATCH(AC8,DIFFERENTIATION_ID_DIFF,0)))</f>
        <v>Производство тепловой энергии. Некомбинированная выработка</v>
      </c>
      <c r="AD9" s="2405"/>
      <c r="AE9" s="2404" t="str">
        <f>IF(AE8="","",INDEX(DIFFERENTIATION_UNMERGE_VD,MATCH(AE8,DIFFERENTIATION_ID_DIFF,0)))</f>
        <v>Производство тепловой энергии. Некомбинированная выработка</v>
      </c>
      <c r="AF9" s="2405"/>
      <c r="AG9" s="2404" t="str">
        <f>IF(AG8="","",INDEX(DIFFERENTIATION_UNMERGE_VD,MATCH(AG8,DIFFERENTIATION_ID_DIFF,0)))</f>
        <v>Производство тепловой энергии. Некомбинированная выработка</v>
      </c>
      <c r="AH9" s="2405"/>
      <c r="AI9" s="2404" t="str">
        <f>IF(AI8="","",INDEX(DIFFERENTIATION_UNMERGE_VD,MATCH(AI8,DIFFERENTIATION_ID_DIFF,0)))</f>
        <v>Производство тепловой энергии. Некомбинированная выработка</v>
      </c>
      <c r="AJ9" s="2405"/>
      <c r="AK9" s="2404" t="str">
        <f>IF(AK8="","",INDEX(DIFFERENTIATION_UNMERGE_VD,MATCH(AK8,DIFFERENTIATION_ID_DIFF,0)))</f>
        <v>Производство тепловой энергии. Некомбинированная выработка</v>
      </c>
      <c r="AL9" s="2405"/>
      <c r="AM9" s="2404" t="str">
        <f>IF(AM8="","",INDEX(DIFFERENTIATION_UNMERGE_VD,MATCH(AM8,DIFFERENTIATION_ID_DIFF,0)))</f>
        <v>Производство тепловой энергии. Некомбинированная выработка</v>
      </c>
      <c r="AN9" s="2405"/>
      <c r="AO9" s="2404" t="str">
        <f>IF(AO8="","",INDEX(DIFFERENTIATION_UNMERGE_VD,MATCH(AO8,DIFFERENTIATION_ID_DIFF,0)))</f>
        <v>Производство тепловой энергии. Некомбинированная выработка</v>
      </c>
      <c r="AP9" s="2405"/>
      <c r="AQ9" s="2404" t="str">
        <f>IF(AQ8="","",INDEX(DIFFERENTIATION_UNMERGE_VD,MATCH(AQ8,DIFFERENTIATION_ID_DIFF,0)))</f>
        <v>Производство тепловой энергии. Некомбинированная выработка</v>
      </c>
      <c r="AR9" s="2405"/>
      <c r="AS9" s="2404" t="str">
        <f>IF(AS8="","",INDEX(DIFFERENTIATION_UNMERGE_VD,MATCH(AS8,DIFFERENTIATION_ID_DIFF,0)))</f>
        <v>Производство тепловой энергии. Некомбинированная выработка</v>
      </c>
      <c r="AT9" s="2405"/>
      <c r="AU9" s="2404" t="str">
        <f>IF(AU8="","",INDEX(DIFFERENTIATION_UNMERGE_VD,MATCH(AU8,DIFFERENTIATION_ID_DIFF,0)))</f>
        <v>Производство тепловой энергии. Некомбинированная выработка</v>
      </c>
      <c r="AV9" s="2405"/>
      <c r="AW9" s="2404" t="str">
        <f>IF(AW8="","",INDEX(DIFFERENTIATION_UNMERGE_VD,MATCH(AW8,DIFFERENTIATION_ID_DIFF,0)))</f>
        <v>Производство тепловой энергии. Некомбинированная выработка</v>
      </c>
      <c r="AX9" s="2405"/>
      <c r="AY9" s="2404" t="str">
        <f>IF(AY8="","",INDEX(DIFFERENTIATION_UNMERGE_VD,MATCH(AY8,DIFFERENTIATION_ID_DIFF,0)))</f>
        <v>Производство тепловой энергии. Некомбинированная выработка</v>
      </c>
      <c r="AZ9" s="2405"/>
      <c r="BA9" s="2404" t="str">
        <f>IF(BA8="","",INDEX(DIFFERENTIATION_UNMERGE_VD,MATCH(BA8,DIFFERENTIATION_ID_DIFF,0)))</f>
        <v>Производство тепловой энергии. Некомбинированная выработка</v>
      </c>
      <c r="BB9" s="2405"/>
      <c r="BC9" s="2404" t="str">
        <f>IF(BC8="","",INDEX(DIFFERENTIATION_UNMERGE_VD,MATCH(BC8,DIFFERENTIATION_ID_DIFF,0)))</f>
        <v>Производство тепловой энергии. Некомбинированная выработка</v>
      </c>
      <c r="BD9" s="2405"/>
      <c r="BE9" s="2404" t="str">
        <f>IF(BE8="","",INDEX(DIFFERENTIATION_UNMERGE_VD,MATCH(BE8,DIFFERENTIATION_ID_DIFF,0)))</f>
        <v>Производство тепловой энергии. Некомбинированная выработка</v>
      </c>
      <c r="BF9" s="2405"/>
      <c r="BG9" s="2404" t="str">
        <f>IF(BG8="","",INDEX(DIFFERENTIATION_UNMERGE_VD,MATCH(BG8,DIFFERENTIATION_ID_DIFF,0)))</f>
        <v>Производство тепловой энергии. Некомбинированная выработка</v>
      </c>
      <c r="BH9" s="2405"/>
      <c r="BI9" s="2404" t="str">
        <f>IF(BI8="","",INDEX(DIFFERENTIATION_UNMERGE_VD,MATCH(BI8,DIFFERENTIATION_ID_DIFF,0)))</f>
        <v>Производство тепловой энергии. Некомбинированная выработка</v>
      </c>
      <c r="BJ9" s="2405"/>
      <c r="BK9" s="2404" t="str">
        <f>IF(BK8="","",INDEX(DIFFERENTIATION_UNMERGE_VD,MATCH(BK8,DIFFERENTIATION_ID_DIFF,0)))</f>
        <v>Производство тепловой энергии. Некомбинированная выработка</v>
      </c>
      <c r="BL9" s="2405"/>
      <c r="BM9" s="2404" t="str">
        <f>IF(BM8="","",INDEX(DIFFERENTIATION_UNMERGE_VD,MATCH(BM8,DIFFERENTIATION_ID_DIFF,0)))</f>
        <v>Производство. Теплоноситель</v>
      </c>
      <c r="BN9" s="2405"/>
      <c r="BO9" s="2404" t="str">
        <f>IF(BO8="","",INDEX(DIFFERENTIATION_UNMERGE_VD,MATCH(BO8,DIFFERENTIATION_ID_DIFF,0)))</f>
        <v>Производство. Теплоноситель</v>
      </c>
      <c r="BP9" s="2405"/>
      <c r="BQ9" s="2404" t="str">
        <f>IF(BQ8="","",INDEX(DIFFERENTIATION_UNMERGE_VD,MATCH(BQ8,DIFFERENTIATION_ID_DIFF,0)))</f>
        <v>Производство. Теплоноситель</v>
      </c>
      <c r="BR9" s="2405"/>
      <c r="BS9" s="2184" t="s">
        <v>374</v>
      </c>
      <c r="CD9" s="514">
        <v>15</v>
      </c>
    </row>
    <row s="1644" customFormat="1" customHeight="1" ht="15.75">
      <c r="A10" s="768"/>
      <c r="C10" s="185"/>
      <c r="D10" s="720"/>
      <c r="E10" s="2376" t="s">
        <v>637</v>
      </c>
      <c r="F10" s="2377"/>
      <c r="G10" s="2404" t="str">
        <f>IF(G8="","",INDEX(DIFFERENTIATION_UNMERGE_AREA,MATCH(G8,DIFFERENTIATION_ID_DIFF,0)))</f>
        <v/>
      </c>
      <c r="H10" s="2405"/>
      <c r="I10" s="2404" t="str">
        <f>IF(I8="","",INDEX(DIFFERENTIATION_UNMERGE_AREA,MATCH(I8,DIFFERENTIATION_ID_DIFF,0)))</f>
        <v>Территория 1</v>
      </c>
      <c r="J10" s="2405"/>
      <c r="K10" s="2404" t="str">
        <f>IF(K8="","",INDEX(DIFFERENTIATION_UNMERGE_AREA,MATCH(K8,DIFFERENTIATION_ID_DIFF,0)))</f>
        <v>Территория 1</v>
      </c>
      <c r="L10" s="2405"/>
      <c r="M10" s="2404" t="str">
        <f>IF(M8="","",INDEX(DIFFERENTIATION_UNMERGE_AREA,MATCH(M8,DIFFERENTIATION_ID_DIFF,0)))</f>
        <v>Территория 1</v>
      </c>
      <c r="N10" s="2405"/>
      <c r="O10" s="2404" t="str">
        <f>IF(O8="","",INDEX(DIFFERENTIATION_UNMERGE_AREA,MATCH(O8,DIFFERENTIATION_ID_DIFF,0)))</f>
        <v>Территория 1</v>
      </c>
      <c r="P10" s="2405"/>
      <c r="Q10" s="2404" t="str">
        <f>IF(Q8="","",INDEX(DIFFERENTIATION_UNMERGE_AREA,MATCH(Q8,DIFFERENTIATION_ID_DIFF,0)))</f>
        <v>Территория 1</v>
      </c>
      <c r="R10" s="2405"/>
      <c r="S10" s="2404" t="str">
        <f>IF(S8="","",INDEX(DIFFERENTIATION_UNMERGE_AREA,MATCH(S8,DIFFERENTIATION_ID_DIFF,0)))</f>
        <v>Территория 1</v>
      </c>
      <c r="T10" s="2405"/>
      <c r="U10" s="2404" t="str">
        <f>IF(U8="","",INDEX(DIFFERENTIATION_UNMERGE_AREA,MATCH(U8,DIFFERENTIATION_ID_DIFF,0)))</f>
        <v>Территория 1</v>
      </c>
      <c r="V10" s="2405"/>
      <c r="W10" s="2404" t="str">
        <f>IF(W8="","",INDEX(DIFFERENTIATION_UNMERGE_AREA,MATCH(W8,DIFFERENTIATION_ID_DIFF,0)))</f>
        <v>Территория 1</v>
      </c>
      <c r="X10" s="2405"/>
      <c r="Y10" s="2404" t="str">
        <f>IF(Y8="","",INDEX(DIFFERENTIATION_UNMERGE_AREA,MATCH(Y8,DIFFERENTIATION_ID_DIFF,0)))</f>
        <v>Территория 1</v>
      </c>
      <c r="Z10" s="2405"/>
      <c r="AA10" s="2404" t="str">
        <f>IF(AA8="","",INDEX(DIFFERENTIATION_UNMERGE_AREA,MATCH(AA8,DIFFERENTIATION_ID_DIFF,0)))</f>
        <v>Территория 1</v>
      </c>
      <c r="AB10" s="2405"/>
      <c r="AC10" s="2404" t="str">
        <f>IF(AC8="","",INDEX(DIFFERENTIATION_UNMERGE_AREA,MATCH(AC8,DIFFERENTIATION_ID_DIFF,0)))</f>
        <v>Территория 1</v>
      </c>
      <c r="AD10" s="2405"/>
      <c r="AE10" s="2404" t="str">
        <f>IF(AE8="","",INDEX(DIFFERENTIATION_UNMERGE_AREA,MATCH(AE8,DIFFERENTIATION_ID_DIFF,0)))</f>
        <v>Территория 1</v>
      </c>
      <c r="AF10" s="2405"/>
      <c r="AG10" s="2404" t="str">
        <f>IF(AG8="","",INDEX(DIFFERENTIATION_UNMERGE_AREA,MATCH(AG8,DIFFERENTIATION_ID_DIFF,0)))</f>
        <v>Территория 1</v>
      </c>
      <c r="AH10" s="2405"/>
      <c r="AI10" s="2404" t="str">
        <f>IF(AI8="","",INDEX(DIFFERENTIATION_UNMERGE_AREA,MATCH(AI8,DIFFERENTIATION_ID_DIFF,0)))</f>
        <v>Территория 1</v>
      </c>
      <c r="AJ10" s="2405"/>
      <c r="AK10" s="2404" t="str">
        <f>IF(AK8="","",INDEX(DIFFERENTIATION_UNMERGE_AREA,MATCH(AK8,DIFFERENTIATION_ID_DIFF,0)))</f>
        <v>Территория 1</v>
      </c>
      <c r="AL10" s="2405"/>
      <c r="AM10" s="2404" t="str">
        <f>IF(AM8="","",INDEX(DIFFERENTIATION_UNMERGE_AREA,MATCH(AM8,DIFFERENTIATION_ID_DIFF,0)))</f>
        <v>Территория 1</v>
      </c>
      <c r="AN10" s="2405"/>
      <c r="AO10" s="2404" t="str">
        <f>IF(AO8="","",INDEX(DIFFERENTIATION_UNMERGE_AREA,MATCH(AO8,DIFFERENTIATION_ID_DIFF,0)))</f>
        <v>Территория 1</v>
      </c>
      <c r="AP10" s="2405"/>
      <c r="AQ10" s="2404" t="str">
        <f>IF(AQ8="","",INDEX(DIFFERENTIATION_UNMERGE_AREA,MATCH(AQ8,DIFFERENTIATION_ID_DIFF,0)))</f>
        <v>Территория 1</v>
      </c>
      <c r="AR10" s="2405"/>
      <c r="AS10" s="2404" t="str">
        <f>IF(AS8="","",INDEX(DIFFERENTIATION_UNMERGE_AREA,MATCH(AS8,DIFFERENTIATION_ID_DIFF,0)))</f>
        <v>Территория 1</v>
      </c>
      <c r="AT10" s="2405"/>
      <c r="AU10" s="2404" t="str">
        <f>IF(AU8="","",INDEX(DIFFERENTIATION_UNMERGE_AREA,MATCH(AU8,DIFFERENTIATION_ID_DIFF,0)))</f>
        <v>Территория 1</v>
      </c>
      <c r="AV10" s="2405"/>
      <c r="AW10" s="2404" t="str">
        <f>IF(AW8="","",INDEX(DIFFERENTIATION_UNMERGE_AREA,MATCH(AW8,DIFFERENTIATION_ID_DIFF,0)))</f>
        <v>Территория 1</v>
      </c>
      <c r="AX10" s="2405"/>
      <c r="AY10" s="2404" t="str">
        <f>IF(AY8="","",INDEX(DIFFERENTIATION_UNMERGE_AREA,MATCH(AY8,DIFFERENTIATION_ID_DIFF,0)))</f>
        <v>Территория 1</v>
      </c>
      <c r="AZ10" s="2405"/>
      <c r="BA10" s="2404" t="str">
        <f>IF(BA8="","",INDEX(DIFFERENTIATION_UNMERGE_AREA,MATCH(BA8,DIFFERENTIATION_ID_DIFF,0)))</f>
        <v>Территория 1</v>
      </c>
      <c r="BB10" s="2405"/>
      <c r="BC10" s="2404" t="str">
        <f>IF(BC8="","",INDEX(DIFFERENTIATION_UNMERGE_AREA,MATCH(BC8,DIFFERENTIATION_ID_DIFF,0)))</f>
        <v>Территория 1</v>
      </c>
      <c r="BD10" s="2405"/>
      <c r="BE10" s="2404" t="str">
        <f>IF(BE8="","",INDEX(DIFFERENTIATION_UNMERGE_AREA,MATCH(BE8,DIFFERENTIATION_ID_DIFF,0)))</f>
        <v>Территория 1</v>
      </c>
      <c r="BF10" s="2405"/>
      <c r="BG10" s="2404" t="str">
        <f>IF(BG8="","",INDEX(DIFFERENTIATION_UNMERGE_AREA,MATCH(BG8,DIFFERENTIATION_ID_DIFF,0)))</f>
        <v>Территория 1</v>
      </c>
      <c r="BH10" s="2405"/>
      <c r="BI10" s="2404" t="str">
        <f>IF(BI8="","",INDEX(DIFFERENTIATION_UNMERGE_AREA,MATCH(BI8,DIFFERENTIATION_ID_DIFF,0)))</f>
        <v>Территория 1</v>
      </c>
      <c r="BJ10" s="2405"/>
      <c r="BK10" s="2404" t="str">
        <f>IF(BK8="","",INDEX(DIFFERENTIATION_UNMERGE_AREA,MATCH(BK8,DIFFERENTIATION_ID_DIFF,0)))</f>
        <v>Территория 1</v>
      </c>
      <c r="BL10" s="2405"/>
      <c r="BM10" s="2404" t="str">
        <f>IF(BM8="","",INDEX(DIFFERENTIATION_UNMERGE_AREA,MATCH(BM8,DIFFERENTIATION_ID_DIFF,0)))</f>
        <v>Территория 1</v>
      </c>
      <c r="BN10" s="2405"/>
      <c r="BO10" s="2404" t="str">
        <f>IF(BO8="","",INDEX(DIFFERENTIATION_UNMERGE_AREA,MATCH(BO8,DIFFERENTIATION_ID_DIFF,0)))</f>
        <v>Территория 1</v>
      </c>
      <c r="BP10" s="2405"/>
      <c r="BQ10" s="2404" t="str">
        <f>IF(BQ8="","",INDEX(DIFFERENTIATION_UNMERGE_AREA,MATCH(BQ8,DIFFERENTIATION_ID_DIFF,0)))</f>
        <v>Территория 1</v>
      </c>
      <c r="BR10" s="2405"/>
      <c r="BS10" s="2208"/>
      <c r="CC10" s="684"/>
      <c r="CD10" s="767">
        <v>15</v>
      </c>
    </row>
    <row s="1644" customFormat="1" customHeight="1" ht="15.75">
      <c r="A11" s="768"/>
      <c r="C11" s="185"/>
      <c r="D11" s="720"/>
      <c r="E11" s="2376" t="s">
        <v>638</v>
      </c>
      <c r="F11" s="2377"/>
      <c r="G11" s="2404" t="str">
        <f>IF(G8="","",INDEX(DIFFERENTIATION_UNMERGE_SYSTEM,MATCH(G8,DIFFERENTIATION_ID_DIFF,0)))</f>
        <v/>
      </c>
      <c r="H11" s="2405"/>
      <c r="I11" s="2404" t="str">
        <f>IF(I8="","",INDEX(DIFFERENTIATION_UNMERGE_SYSTEM,MATCH(I8,DIFFERENTIATION_ID_DIFF,0)))</f>
        <v>Котельная №1 по ул.Ново-Самарская, д.12</v>
      </c>
      <c r="J11" s="2405"/>
      <c r="K11" s="2404" t="str">
        <f>IF(K8="","",INDEX(DIFFERENTIATION_UNMERGE_SYSTEM,MATCH(K8,DIFFERENTIATION_ID_DIFF,0)))</f>
        <v>Котельная №2,  ул.Пирогова около д.4</v>
      </c>
      <c r="L11" s="2405"/>
      <c r="M11" s="2404" t="str">
        <f>IF(M8="","",INDEX(DIFFERENTIATION_UNMERGE_SYSTEM,MATCH(M8,DIFFERENTIATION_ID_DIFF,0)))</f>
        <v>Котельная №3, ул.Комсомольская около д.1 по ул.Ленина</v>
      </c>
      <c r="N11" s="2405"/>
      <c r="O11" s="2404" t="str">
        <f>IF(O8="","",INDEX(DIFFERENTIATION_UNMERGE_SYSTEM,MATCH(O8,DIFFERENTIATION_ID_DIFF,0)))</f>
        <v>Тепловой центр №1 ул.Вокзальная ок д.№8</v>
      </c>
      <c r="P11" s="2405"/>
      <c r="Q11" s="2404" t="str">
        <f>IF(Q8="","",INDEX(DIFFERENTIATION_UNMERGE_SYSTEM,MATCH(Q8,DIFFERENTIATION_ID_DIFF,0)))</f>
        <v>Котельная №5, Александр. Поле, около д.30 по ул.Советская </v>
      </c>
      <c r="R11" s="2405"/>
      <c r="S11" s="2404" t="str">
        <f>IF(S8="","",INDEX(DIFFERENTIATION_UNMERGE_SYSTEM,MATCH(S8,DIFFERENTIATION_ID_DIFF,0)))</f>
        <v>Котельная №6, ул.Пушкина </v>
      </c>
      <c r="T11" s="2405"/>
      <c r="U11" s="2404" t="str">
        <f>IF(U8="","",INDEX(DIFFERENTIATION_UNMERGE_SYSTEM,MATCH(U8,DIFFERENTIATION_ID_DIFF,0)))</f>
        <v>Тепловой центр №2 ул.Вокзальная ок д.№20</v>
      </c>
      <c r="V11" s="2405"/>
      <c r="W11" s="2404" t="str">
        <f>IF(W8="","",INDEX(DIFFERENTIATION_UNMERGE_SYSTEM,MATCH(W8,DIFFERENTIATION_ID_DIFF,0)))</f>
        <v>Котельная №8, ул.Мира</v>
      </c>
      <c r="X11" s="2405"/>
      <c r="Y11" s="2404" t="str">
        <f>IF(Y8="","",INDEX(DIFFERENTIATION_UNMERGE_SYSTEM,MATCH(Y8,DIFFERENTIATION_ID_DIFF,0)))</f>
        <v>Котельная №9, ул.Гоголя</v>
      </c>
      <c r="Z11" s="2405"/>
      <c r="AA11" s="2404" t="str">
        <f>IF(AA8="","",INDEX(DIFFERENTIATION_UNMERGE_SYSTEM,MATCH(AA8,DIFFERENTIATION_ID_DIFF,0)))</f>
        <v>Котельная №10, ул.Гоголя</v>
      </c>
      <c r="AB11" s="2405"/>
      <c r="AC11" s="2404" t="str">
        <f>IF(AC8="","",INDEX(DIFFERENTIATION_UNMERGE_SYSTEM,MATCH(AC8,DIFFERENTIATION_ID_DIFF,0)))</f>
        <v>Котельная №12а, ул.Мира</v>
      </c>
      <c r="AD11" s="2405"/>
      <c r="AE11" s="2404" t="str">
        <f>IF(AE8="","",INDEX(DIFFERENTIATION_UNMERGE_SYSTEM,MATCH(AE8,DIFFERENTIATION_ID_DIFF,0)))</f>
        <v>Котельная №13, ул.Морквашинская</v>
      </c>
      <c r="AF11" s="2405"/>
      <c r="AG11" s="2404" t="str">
        <f>IF(AG8="","",INDEX(DIFFERENTIATION_UNMERGE_SYSTEM,MATCH(AG8,DIFFERENTIATION_ID_DIFF,0)))</f>
        <v>ЦТП-1 ул.Морквашинская ок.д№7</v>
      </c>
      <c r="AH11" s="2405"/>
      <c r="AI11" s="2404" t="str">
        <f>IF(AI8="","",INDEX(DIFFERENTIATION_UNMERGE_SYSTEM,MATCH(AI8,DIFFERENTIATION_ID_DIFF,0)))</f>
        <v>ЦТП-2, В-1,ок.д.№10</v>
      </c>
      <c r="AJ11" s="2405"/>
      <c r="AK11" s="2404" t="str">
        <f>IF(AK8="","",INDEX(DIFFERENTIATION_UNMERGE_SYSTEM,MATCH(AK8,DIFFERENTIATION_ID_DIFF,0)))</f>
        <v>ЦТП-9, ул.Пролетарская д.23/ул.Транспортная д.10</v>
      </c>
      <c r="AL11" s="2405"/>
      <c r="AM11" s="2404" t="str">
        <f>IF(AM8="","",INDEX(DIFFERENTIATION_UNMERGE_SYSTEM,MATCH(AM8,DIFFERENTIATION_ID_DIFF,0)))</f>
        <v>ПНС№1-  Пролет, 5</v>
      </c>
      <c r="AN11" s="2405"/>
      <c r="AO11" s="2404" t="str">
        <f>IF(AO8="","",INDEX(DIFFERENTIATION_UNMERGE_SYSTEM,MATCH(AO8,DIFFERENTIATION_ID_DIFF,0)))</f>
        <v>ПНС№2, ул.Репина,3</v>
      </c>
      <c r="AP11" s="2405"/>
      <c r="AQ11" s="2404" t="str">
        <f>IF(AQ8="","",INDEX(DIFFERENTIATION_UNMERGE_SYSTEM,MATCH(AQ8,DIFFERENTIATION_ID_DIFF,0)))</f>
        <v>Котельная №14, ул.Радиозаводская</v>
      </c>
      <c r="AR11" s="2405"/>
      <c r="AS11" s="2404" t="str">
        <f>IF(AS8="","",INDEX(DIFFERENTIATION_UNMERGE_SYSTEM,MATCH(AS8,DIFFERENTIATION_ID_DIFF,0)))</f>
        <v>ЦТП-3, ул.Радиозаводская,ок.д.№6</v>
      </c>
      <c r="AT11" s="2405"/>
      <c r="AU11" s="2404" t="str">
        <f>IF(AU8="","",INDEX(DIFFERENTIATION_UNMERGE_SYSTEM,MATCH(AU8,DIFFERENTIATION_ID_DIFF,0)))</f>
        <v>Котельная №17а с.Зольное , ул.Первомайская.</v>
      </c>
      <c r="AV11" s="2405"/>
      <c r="AW11" s="2404" t="str">
        <f>IF(AW8="","",INDEX(DIFFERENTIATION_UNMERGE_SYSTEM,MATCH(AW8,DIFFERENTIATION_ID_DIFF,0)))</f>
        <v>Котельная №18А, с.Солнечная Поляна, ул. 4-я Линия</v>
      </c>
      <c r="AX11" s="2405"/>
      <c r="AY11" s="2404" t="str">
        <f>IF(AY8="","",INDEX(DIFFERENTIATION_UNMERGE_SYSTEM,MATCH(AY8,DIFFERENTIATION_ID_DIFF,0)))</f>
        <v>Котельная №20,пос.Яблоневый Овраг , ул Никитина</v>
      </c>
      <c r="AZ11" s="2405"/>
      <c r="BA11" s="2404" t="str">
        <f>IF(BA8="","",INDEX(DIFFERENTIATION_UNMERGE_SYSTEM,MATCH(BA8,DIFFERENTIATION_ID_DIFF,0)))</f>
        <v>Котельная №22, ул.Магистральная</v>
      </c>
      <c r="BB11" s="2405"/>
      <c r="BC11" s="2404" t="str">
        <f>IF(BC8="","",INDEX(DIFFERENTIATION_UNMERGE_SYSTEM,MATCH(BC8,DIFFERENTIATION_ID_DIFF,0)))</f>
        <v>Котельная №25,  МКР Г-1, ул.Гидротехническая</v>
      </c>
      <c r="BD11" s="2405"/>
      <c r="BE11" s="2404" t="str">
        <f>IF(BE8="","",INDEX(DIFFERENTIATION_UNMERGE_SYSTEM,MATCH(BE8,DIFFERENTIATION_ID_DIFF,0)))</f>
        <v>ЦТП-7, ул.Оборонная</v>
      </c>
      <c r="BF11" s="2405"/>
      <c r="BG11" s="2404" t="str">
        <f>IF(BG8="","",INDEX(DIFFERENTIATION_UNMERGE_SYSTEM,MATCH(BG8,DIFFERENTIATION_ID_DIFF,0)))</f>
        <v>ЦТП-8, ул.Шевченко</v>
      </c>
      <c r="BH11" s="2405"/>
      <c r="BI11" s="2404" t="str">
        <f>IF(BI8="","",INDEX(DIFFERENTIATION_UNMERGE_SYSTEM,MATCH(BI8,DIFFERENTIATION_ID_DIFF,0)))</f>
        <v>ПНС, ул.Парковая</v>
      </c>
      <c r="BJ11" s="2405"/>
      <c r="BK11" s="2404" t="str">
        <f>IF(BK8="","",INDEX(DIFFERENTIATION_UNMERGE_SYSTEM,MATCH(BK8,DIFFERENTIATION_ID_DIFF,0)))</f>
        <v>Котельная №27, п.Богатырь, ул.Управленческая</v>
      </c>
      <c r="BL11" s="2405"/>
      <c r="BM11" s="2404" t="str">
        <f>IF(BM8="","",INDEX(DIFFERENTIATION_UNMERGE_SYSTEM,MATCH(BM8,DIFFERENTIATION_ID_DIFF,0)))</f>
        <v>Котельная №13, ул.Морквашинская</v>
      </c>
      <c r="BN11" s="2405"/>
      <c r="BO11" s="2404" t="str">
        <f>IF(BO8="","",INDEX(DIFFERENTIATION_UNMERGE_SYSTEM,MATCH(BO8,DIFFERENTIATION_ID_DIFF,0)))</f>
        <v>Котельная №14, ул.Радиозаводская</v>
      </c>
      <c r="BP11" s="2405"/>
      <c r="BQ11" s="2404" t="str">
        <f>IF(BQ8="","",INDEX(DIFFERENTIATION_UNMERGE_SYSTEM,MATCH(BQ8,DIFFERENTIATION_ID_DIFF,0)))</f>
        <v>Котельная №25,  МКР Г-1, ул.Гидротехническая</v>
      </c>
      <c r="BR11" s="2405"/>
      <c r="BS11" s="2208"/>
      <c r="CC11" s="684"/>
      <c r="CD11" s="767">
        <v>15</v>
      </c>
    </row>
    <row s="1644" customFormat="1" customHeight="1" ht="15.75">
      <c r="A12" s="768"/>
      <c r="C12" s="185"/>
      <c r="D12" s="2378" t="s">
        <v>373</v>
      </c>
      <c r="E12" s="2379"/>
      <c r="F12" s="2379"/>
      <c r="G12" s="896"/>
      <c r="H12" s="896"/>
      <c r="I12" s="896"/>
      <c r="J12" s="896"/>
      <c r="K12" s="2376"/>
      <c r="L12" s="2376"/>
      <c r="M12" s="2376"/>
      <c r="N12" s="2376"/>
      <c r="O12" s="2376"/>
      <c r="P12" s="2376"/>
      <c r="Q12" s="2376"/>
      <c r="R12" s="2376"/>
      <c r="S12" s="2376"/>
      <c r="T12" s="2376"/>
      <c r="U12" s="2376"/>
      <c r="V12" s="2376"/>
      <c r="W12" s="2376"/>
      <c r="X12" s="2376"/>
      <c r="Y12" s="2376"/>
      <c r="Z12" s="2376"/>
      <c r="AA12" s="2376"/>
      <c r="AB12" s="2376"/>
      <c r="AC12" s="2376"/>
      <c r="AD12" s="2376"/>
      <c r="AE12" s="2376"/>
      <c r="AF12" s="2376"/>
      <c r="AG12" s="2376"/>
      <c r="AH12" s="2376"/>
      <c r="AI12" s="2376"/>
      <c r="AJ12" s="2376"/>
      <c r="AK12" s="2376"/>
      <c r="AL12" s="2376"/>
      <c r="AM12" s="2376"/>
      <c r="AN12" s="2376"/>
      <c r="AO12" s="2376"/>
      <c r="AP12" s="2376"/>
      <c r="AQ12" s="2376"/>
      <c r="AR12" s="2376"/>
      <c r="AS12" s="2376"/>
      <c r="AT12" s="2376"/>
      <c r="AU12" s="2376"/>
      <c r="AV12" s="2376"/>
      <c r="AW12" s="2376"/>
      <c r="AX12" s="2376"/>
      <c r="AY12" s="2376"/>
      <c r="AZ12" s="2376"/>
      <c r="BA12" s="2376"/>
      <c r="BB12" s="2376"/>
      <c r="BC12" s="2376"/>
      <c r="BD12" s="2376"/>
      <c r="BE12" s="2376"/>
      <c r="BF12" s="2376"/>
      <c r="BG12" s="2376"/>
      <c r="BH12" s="2376"/>
      <c r="BI12" s="2376"/>
      <c r="BJ12" s="2376"/>
      <c r="BK12" s="2376"/>
      <c r="BL12" s="2376"/>
      <c r="BM12" s="2376"/>
      <c r="BN12" s="2376"/>
      <c r="BO12" s="2376"/>
      <c r="BP12" s="2376"/>
      <c r="BQ12" s="2376"/>
      <c r="BR12" s="2376"/>
      <c r="BS12" s="2208"/>
      <c r="CC12" s="684"/>
      <c r="CD12" s="767">
        <v>15</v>
      </c>
    </row>
    <row customHeight="1" ht="35.699999999999996">
      <c r="C13" s="185"/>
      <c r="D13" s="814" t="s">
        <v>88</v>
      </c>
      <c r="E13" s="816" t="s">
        <v>375</v>
      </c>
      <c r="F13" s="816" t="s">
        <v>639</v>
      </c>
      <c r="G13" s="817" t="s">
        <v>376</v>
      </c>
      <c r="H13" s="816" t="s">
        <v>463</v>
      </c>
      <c r="I13" s="817" t="s">
        <v>376</v>
      </c>
      <c r="J13" s="816" t="s">
        <v>463</v>
      </c>
      <c r="K13" s="2271" t="s">
        <v>376</v>
      </c>
      <c r="L13" s="2321" t="s">
        <v>463</v>
      </c>
      <c r="M13" s="2271" t="s">
        <v>376</v>
      </c>
      <c r="N13" s="2321" t="s">
        <v>463</v>
      </c>
      <c r="O13" s="2271" t="s">
        <v>376</v>
      </c>
      <c r="P13" s="2321" t="s">
        <v>463</v>
      </c>
      <c r="Q13" s="2271" t="s">
        <v>376</v>
      </c>
      <c r="R13" s="2321" t="s">
        <v>463</v>
      </c>
      <c r="S13" s="2271" t="s">
        <v>376</v>
      </c>
      <c r="T13" s="2321" t="s">
        <v>463</v>
      </c>
      <c r="U13" s="2271" t="s">
        <v>376</v>
      </c>
      <c r="V13" s="2321" t="s">
        <v>463</v>
      </c>
      <c r="W13" s="2271" t="s">
        <v>376</v>
      </c>
      <c r="X13" s="2321" t="s">
        <v>463</v>
      </c>
      <c r="Y13" s="2271" t="s">
        <v>376</v>
      </c>
      <c r="Z13" s="2321" t="s">
        <v>463</v>
      </c>
      <c r="AA13" s="2271" t="s">
        <v>376</v>
      </c>
      <c r="AB13" s="2321" t="s">
        <v>463</v>
      </c>
      <c r="AC13" s="2271" t="s">
        <v>376</v>
      </c>
      <c r="AD13" s="2321" t="s">
        <v>463</v>
      </c>
      <c r="AE13" s="2271" t="s">
        <v>376</v>
      </c>
      <c r="AF13" s="2321" t="s">
        <v>463</v>
      </c>
      <c r="AG13" s="2271" t="s">
        <v>376</v>
      </c>
      <c r="AH13" s="2321" t="s">
        <v>463</v>
      </c>
      <c r="AI13" s="2271" t="s">
        <v>376</v>
      </c>
      <c r="AJ13" s="2321" t="s">
        <v>463</v>
      </c>
      <c r="AK13" s="2271" t="s">
        <v>376</v>
      </c>
      <c r="AL13" s="2321" t="s">
        <v>463</v>
      </c>
      <c r="AM13" s="2271" t="s">
        <v>376</v>
      </c>
      <c r="AN13" s="2321" t="s">
        <v>463</v>
      </c>
      <c r="AO13" s="2271" t="s">
        <v>376</v>
      </c>
      <c r="AP13" s="2321" t="s">
        <v>463</v>
      </c>
      <c r="AQ13" s="2271" t="s">
        <v>376</v>
      </c>
      <c r="AR13" s="2321" t="s">
        <v>463</v>
      </c>
      <c r="AS13" s="2271" t="s">
        <v>376</v>
      </c>
      <c r="AT13" s="2321" t="s">
        <v>463</v>
      </c>
      <c r="AU13" s="2271" t="s">
        <v>376</v>
      </c>
      <c r="AV13" s="2321" t="s">
        <v>463</v>
      </c>
      <c r="AW13" s="2271" t="s">
        <v>376</v>
      </c>
      <c r="AX13" s="2321" t="s">
        <v>463</v>
      </c>
      <c r="AY13" s="2271" t="s">
        <v>376</v>
      </c>
      <c r="AZ13" s="2321" t="s">
        <v>463</v>
      </c>
      <c r="BA13" s="2271" t="s">
        <v>376</v>
      </c>
      <c r="BB13" s="2321" t="s">
        <v>463</v>
      </c>
      <c r="BC13" s="2271" t="s">
        <v>376</v>
      </c>
      <c r="BD13" s="2321" t="s">
        <v>463</v>
      </c>
      <c r="BE13" s="2271" t="s">
        <v>376</v>
      </c>
      <c r="BF13" s="2321" t="s">
        <v>463</v>
      </c>
      <c r="BG13" s="2271" t="s">
        <v>376</v>
      </c>
      <c r="BH13" s="2321" t="s">
        <v>463</v>
      </c>
      <c r="BI13" s="2271" t="s">
        <v>376</v>
      </c>
      <c r="BJ13" s="2321" t="s">
        <v>463</v>
      </c>
      <c r="BK13" s="2271" t="s">
        <v>376</v>
      </c>
      <c r="BL13" s="2321" t="s">
        <v>463</v>
      </c>
      <c r="BM13" s="2271" t="s">
        <v>376</v>
      </c>
      <c r="BN13" s="2375" t="s">
        <v>463</v>
      </c>
      <c r="BO13" s="2271" t="s">
        <v>376</v>
      </c>
      <c r="BP13" s="2375" t="s">
        <v>463</v>
      </c>
      <c r="BQ13" s="2271" t="s">
        <v>376</v>
      </c>
      <c r="BR13" s="2375" t="s">
        <v>463</v>
      </c>
      <c r="BS13" s="2241"/>
      <c r="CD13" s="514">
        <v>34</v>
      </c>
    </row>
    <row customHeight="1" ht="15" hidden="1">
      <c r="C14" s="185"/>
      <c r="D14" s="602" t="s">
        <v>109</v>
      </c>
      <c r="E14" s="602" t="s">
        <v>110</v>
      </c>
      <c r="F14" s="602" t="s">
        <v>90</v>
      </c>
      <c r="G14" s="668" t="str">
        <f>G1&amp;".1"</f>
        <v>4.1</v>
      </c>
      <c r="H14" s="668"/>
      <c r="I14" s="668" t="str">
        <f>I1&amp;".1"</f>
        <v>4.1</v>
      </c>
      <c r="J14" s="668"/>
      <c r="K14" s="692" t="str">
        <f>K1&amp;".1"</f>
        <v>4.1</v>
      </c>
      <c r="L14" s="692"/>
      <c r="M14" s="692" t="str">
        <f>M1&amp;".1"</f>
        <v>4.1</v>
      </c>
      <c r="N14" s="692"/>
      <c r="O14" s="692" t="str">
        <f>O1&amp;".1"</f>
        <v>4.1</v>
      </c>
      <c r="P14" s="692"/>
      <c r="Q14" s="692" t="str">
        <f>Q1&amp;".1"</f>
        <v>4.1</v>
      </c>
      <c r="R14" s="692"/>
      <c r="S14" s="692" t="str">
        <f>S1&amp;".1"</f>
        <v>4.1</v>
      </c>
      <c r="T14" s="692"/>
      <c r="U14" s="692" t="str">
        <f>U1&amp;".1"</f>
        <v>4.1</v>
      </c>
      <c r="V14" s="692"/>
      <c r="W14" s="692" t="str">
        <f>W1&amp;".1"</f>
        <v>4.1</v>
      </c>
      <c r="X14" s="692"/>
      <c r="Y14" s="692" t="str">
        <f>Y1&amp;".1"</f>
        <v>4.1</v>
      </c>
      <c r="Z14" s="692"/>
      <c r="AA14" s="692" t="str">
        <f>AA1&amp;".1"</f>
        <v>4.1</v>
      </c>
      <c r="AB14" s="692"/>
      <c r="AC14" s="692" t="str">
        <f>AC1&amp;".1"</f>
        <v>4.1</v>
      </c>
      <c r="AD14" s="692"/>
      <c r="AE14" s="692" t="str">
        <f>AE1&amp;".1"</f>
        <v>4.1</v>
      </c>
      <c r="AF14" s="692"/>
      <c r="AG14" s="692" t="str">
        <f>AG1&amp;".1"</f>
        <v>4.1</v>
      </c>
      <c r="AH14" s="692"/>
      <c r="AI14" s="692" t="str">
        <f>AI1&amp;".1"</f>
        <v>4.1</v>
      </c>
      <c r="AJ14" s="692"/>
      <c r="AK14" s="692" t="str">
        <f>AK1&amp;".1"</f>
        <v>4.1</v>
      </c>
      <c r="AL14" s="692"/>
      <c r="AM14" s="692" t="str">
        <f>AM1&amp;".1"</f>
        <v>4.1</v>
      </c>
      <c r="AN14" s="692"/>
      <c r="AO14" s="692" t="str">
        <f>AO1&amp;".1"</f>
        <v>4.1</v>
      </c>
      <c r="AP14" s="692"/>
      <c r="AQ14" s="692" t="str">
        <f>AQ1&amp;".1"</f>
        <v>4.1</v>
      </c>
      <c r="AR14" s="692"/>
      <c r="AS14" s="692" t="str">
        <f>AS1&amp;".1"</f>
        <v>4.1</v>
      </c>
      <c r="AT14" s="692"/>
      <c r="AU14" s="692" t="str">
        <f>AU1&amp;".1"</f>
        <v>4.1</v>
      </c>
      <c r="AV14" s="692"/>
      <c r="AW14" s="692" t="str">
        <f>AW1&amp;".1"</f>
        <v>4.1</v>
      </c>
      <c r="AX14" s="692"/>
      <c r="AY14" s="692" t="str">
        <f>AY1&amp;".1"</f>
        <v>4.1</v>
      </c>
      <c r="AZ14" s="692"/>
      <c r="BA14" s="692" t="str">
        <f>BA1&amp;".1"</f>
        <v>4.1</v>
      </c>
      <c r="BB14" s="692"/>
      <c r="BC14" s="692" t="str">
        <f>BC1&amp;".1"</f>
        <v>4.1</v>
      </c>
      <c r="BD14" s="692"/>
      <c r="BE14" s="692" t="str">
        <f>BE1&amp;".1"</f>
        <v>4.1</v>
      </c>
      <c r="BF14" s="692"/>
      <c r="BG14" s="692" t="str">
        <f>BG1&amp;".1"</f>
        <v>4.1</v>
      </c>
      <c r="BH14" s="692"/>
      <c r="BI14" s="692" t="str">
        <f>BI1&amp;".1"</f>
        <v>4.1</v>
      </c>
      <c r="BJ14" s="692"/>
      <c r="BK14" s="692" t="str">
        <f>BK1&amp;".1"</f>
        <v>4.1</v>
      </c>
      <c r="BL14" s="692"/>
      <c r="BM14" s="692" t="str">
        <f>BM1&amp;".1"</f>
        <v>4.1</v>
      </c>
      <c r="BN14" s="692"/>
      <c r="BO14" s="692" t="str">
        <f>BO1&amp;".1"</f>
        <v>4.1</v>
      </c>
      <c r="BP14" s="692"/>
      <c r="BQ14" s="692" t="str">
        <f>BQ1&amp;".1"</f>
        <v>4.1</v>
      </c>
      <c r="BR14" s="692"/>
      <c r="BS14" s="298"/>
      <c r="CD14" s="514">
        <v>0</v>
      </c>
    </row>
    <row customHeight="1" ht="22.5" hidden="1">
      <c r="A15" s="514"/>
      <c r="C15" s="535"/>
      <c r="D15" s="530">
        <v>1</v>
      </c>
      <c r="E15" s="686" t="s">
        <v>911</v>
      </c>
      <c r="F15" s="530" t="s">
        <v>912</v>
      </c>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c r="AE15" s="687"/>
      <c r="AF15" s="687"/>
      <c r="AG15" s="687"/>
      <c r="AH15" s="687"/>
      <c r="AI15" s="687"/>
      <c r="AJ15" s="687"/>
      <c r="AK15" s="687"/>
      <c r="AL15" s="687"/>
      <c r="AM15" s="687"/>
      <c r="AN15" s="687"/>
      <c r="AO15" s="687"/>
      <c r="AP15" s="687"/>
      <c r="AQ15" s="687"/>
      <c r="AR15" s="687"/>
      <c r="AS15" s="687"/>
      <c r="AT15" s="687"/>
      <c r="AU15" s="687"/>
      <c r="AV15" s="687"/>
      <c r="AW15" s="687"/>
      <c r="AX15" s="687"/>
      <c r="AY15" s="687"/>
      <c r="AZ15" s="687"/>
      <c r="BA15" s="687"/>
      <c r="BB15" s="687"/>
      <c r="BC15" s="687"/>
      <c r="BD15" s="687"/>
      <c r="BE15" s="687"/>
      <c r="BF15" s="687"/>
      <c r="BG15" s="687"/>
      <c r="BH15" s="687"/>
      <c r="BI15" s="687"/>
      <c r="BJ15" s="687"/>
      <c r="BK15" s="687"/>
      <c r="BL15" s="687"/>
      <c r="BM15" s="687"/>
      <c r="BN15" s="687"/>
      <c r="BO15" s="687"/>
      <c r="BP15" s="687"/>
      <c r="BQ15" s="687"/>
      <c r="BR15" s="687"/>
      <c r="BS15" s="298" t="s">
        <v>913</v>
      </c>
      <c r="CD15" s="514">
        <v>0</v>
      </c>
    </row>
    <row customHeight="1" ht="22.5" hidden="1">
      <c r="A16" s="514"/>
      <c r="C16" s="535"/>
      <c r="D16" s="530">
        <v>2</v>
      </c>
      <c r="E16" s="288" t="s">
        <v>914</v>
      </c>
      <c r="F16" s="530" t="s">
        <v>915</v>
      </c>
      <c r="G16" s="687"/>
      <c r="H16" s="687"/>
      <c r="I16" s="687"/>
      <c r="J16" s="687"/>
      <c r="K16" s="687"/>
      <c r="L16" s="687"/>
      <c r="M16" s="687"/>
      <c r="N16" s="687"/>
      <c r="O16" s="687"/>
      <c r="P16" s="687"/>
      <c r="Q16" s="687"/>
      <c r="R16" s="687"/>
      <c r="S16" s="687"/>
      <c r="T16" s="687"/>
      <c r="U16" s="687"/>
      <c r="V16" s="687"/>
      <c r="W16" s="687"/>
      <c r="X16" s="687"/>
      <c r="Y16" s="687"/>
      <c r="Z16" s="687"/>
      <c r="AA16" s="687"/>
      <c r="AB16" s="687"/>
      <c r="AC16" s="687"/>
      <c r="AD16" s="687"/>
      <c r="AE16" s="687"/>
      <c r="AF16" s="687"/>
      <c r="AG16" s="687"/>
      <c r="AH16" s="687"/>
      <c r="AI16" s="687"/>
      <c r="AJ16" s="687"/>
      <c r="AK16" s="687"/>
      <c r="AL16" s="687"/>
      <c r="AM16" s="687"/>
      <c r="AN16" s="687"/>
      <c r="AO16" s="687"/>
      <c r="AP16" s="687"/>
      <c r="AQ16" s="687"/>
      <c r="AR16" s="687"/>
      <c r="AS16" s="687"/>
      <c r="AT16" s="687"/>
      <c r="AU16" s="687"/>
      <c r="AV16" s="687"/>
      <c r="AW16" s="687"/>
      <c r="AX16" s="687"/>
      <c r="AY16" s="687"/>
      <c r="AZ16" s="687"/>
      <c r="BA16" s="687"/>
      <c r="BB16" s="687"/>
      <c r="BC16" s="687"/>
      <c r="BD16" s="687"/>
      <c r="BE16" s="687"/>
      <c r="BF16" s="687"/>
      <c r="BG16" s="687"/>
      <c r="BH16" s="687"/>
      <c r="BI16" s="687"/>
      <c r="BJ16" s="687"/>
      <c r="BK16" s="687"/>
      <c r="BL16" s="687"/>
      <c r="BM16" s="687"/>
      <c r="BN16" s="687"/>
      <c r="BO16" s="687"/>
      <c r="BP16" s="687"/>
      <c r="BQ16" s="687"/>
      <c r="BR16" s="687"/>
      <c r="BS16" s="298" t="s">
        <v>916</v>
      </c>
      <c r="CD16" s="514">
        <v>0</v>
      </c>
    </row>
    <row customHeight="1" ht="123.75" hidden="1">
      <c r="A17" s="514"/>
      <c r="C17" s="535"/>
      <c r="D17" s="530">
        <v>3</v>
      </c>
      <c r="E17" s="288" t="s">
        <v>1259</v>
      </c>
      <c r="F17" s="530" t="s">
        <v>379</v>
      </c>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687"/>
      <c r="AG17" s="687"/>
      <c r="AH17" s="687"/>
      <c r="AI17" s="687"/>
      <c r="AJ17" s="687"/>
      <c r="AK17" s="687"/>
      <c r="AL17" s="687"/>
      <c r="AM17" s="687"/>
      <c r="AN17" s="687"/>
      <c r="AO17" s="687"/>
      <c r="AP17" s="687"/>
      <c r="AQ17" s="687"/>
      <c r="AR17" s="687"/>
      <c r="AS17" s="687"/>
      <c r="AT17" s="687"/>
      <c r="AU17" s="687"/>
      <c r="AV17" s="687"/>
      <c r="AW17" s="687"/>
      <c r="AX17" s="687"/>
      <c r="AY17" s="687"/>
      <c r="AZ17" s="687"/>
      <c r="BA17" s="687"/>
      <c r="BB17" s="687"/>
      <c r="BC17" s="687"/>
      <c r="BD17" s="687"/>
      <c r="BE17" s="687"/>
      <c r="BF17" s="687"/>
      <c r="BG17" s="687"/>
      <c r="BH17" s="687"/>
      <c r="BI17" s="687"/>
      <c r="BJ17" s="687"/>
      <c r="BK17" s="687"/>
      <c r="BL17" s="687"/>
      <c r="BM17" s="687"/>
      <c r="BN17" s="687"/>
      <c r="BO17" s="687"/>
      <c r="BP17" s="687"/>
      <c r="BQ17" s="687"/>
      <c r="BR17" s="687"/>
      <c r="BS17" s="298" t="s">
        <v>1260</v>
      </c>
      <c r="CD17" s="514">
        <v>0</v>
      </c>
    </row>
    <row customHeight="1" ht="48.29999999999999">
      <c r="A18" s="514"/>
      <c r="C18" s="535"/>
      <c r="D18" s="530">
        <v>3</v>
      </c>
      <c r="E18" s="288" t="s">
        <v>917</v>
      </c>
      <c r="F18" s="530" t="s">
        <v>379</v>
      </c>
      <c r="G18" s="818" t="s">
        <v>379</v>
      </c>
      <c r="H18" s="819" t="s">
        <v>379</v>
      </c>
      <c r="I18" s="530" t="s">
        <v>379</v>
      </c>
      <c r="J18" s="587" t="s">
        <v>379</v>
      </c>
      <c r="K18" s="2321" t="s">
        <v>379</v>
      </c>
      <c r="L18" s="2269" t="s">
        <v>379</v>
      </c>
      <c r="M18" s="2321" t="s">
        <v>379</v>
      </c>
      <c r="N18" s="2269" t="s">
        <v>379</v>
      </c>
      <c r="O18" s="2321" t="s">
        <v>379</v>
      </c>
      <c r="P18" s="2269" t="s">
        <v>379</v>
      </c>
      <c r="Q18" s="2321" t="s">
        <v>379</v>
      </c>
      <c r="R18" s="2269" t="s">
        <v>379</v>
      </c>
      <c r="S18" s="2321" t="s">
        <v>379</v>
      </c>
      <c r="T18" s="2269" t="s">
        <v>379</v>
      </c>
      <c r="U18" s="2321" t="s">
        <v>379</v>
      </c>
      <c r="V18" s="2269" t="s">
        <v>379</v>
      </c>
      <c r="W18" s="2321" t="s">
        <v>379</v>
      </c>
      <c r="X18" s="2269" t="s">
        <v>379</v>
      </c>
      <c r="Y18" s="2321" t="s">
        <v>379</v>
      </c>
      <c r="Z18" s="2269" t="s">
        <v>379</v>
      </c>
      <c r="AA18" s="2321" t="s">
        <v>379</v>
      </c>
      <c r="AB18" s="2269" t="s">
        <v>379</v>
      </c>
      <c r="AC18" s="2321" t="s">
        <v>379</v>
      </c>
      <c r="AD18" s="2269" t="s">
        <v>379</v>
      </c>
      <c r="AE18" s="2321" t="s">
        <v>379</v>
      </c>
      <c r="AF18" s="2269" t="s">
        <v>379</v>
      </c>
      <c r="AG18" s="2321" t="s">
        <v>379</v>
      </c>
      <c r="AH18" s="2269" t="s">
        <v>379</v>
      </c>
      <c r="AI18" s="2321" t="s">
        <v>379</v>
      </c>
      <c r="AJ18" s="2269" t="s">
        <v>379</v>
      </c>
      <c r="AK18" s="2321" t="s">
        <v>379</v>
      </c>
      <c r="AL18" s="2269" t="s">
        <v>379</v>
      </c>
      <c r="AM18" s="2321" t="s">
        <v>379</v>
      </c>
      <c r="AN18" s="2269" t="s">
        <v>379</v>
      </c>
      <c r="AO18" s="2321" t="s">
        <v>379</v>
      </c>
      <c r="AP18" s="2269" t="s">
        <v>379</v>
      </c>
      <c r="AQ18" s="2321" t="s">
        <v>379</v>
      </c>
      <c r="AR18" s="2269" t="s">
        <v>379</v>
      </c>
      <c r="AS18" s="2321" t="s">
        <v>379</v>
      </c>
      <c r="AT18" s="2269" t="s">
        <v>379</v>
      </c>
      <c r="AU18" s="2321" t="s">
        <v>379</v>
      </c>
      <c r="AV18" s="2269" t="s">
        <v>379</v>
      </c>
      <c r="AW18" s="2321" t="s">
        <v>379</v>
      </c>
      <c r="AX18" s="2269" t="s">
        <v>379</v>
      </c>
      <c r="AY18" s="2321" t="s">
        <v>379</v>
      </c>
      <c r="AZ18" s="2269" t="s">
        <v>379</v>
      </c>
      <c r="BA18" s="2321" t="s">
        <v>379</v>
      </c>
      <c r="BB18" s="2269" t="s">
        <v>379</v>
      </c>
      <c r="BC18" s="2321" t="s">
        <v>379</v>
      </c>
      <c r="BD18" s="2269" t="s">
        <v>379</v>
      </c>
      <c r="BE18" s="2321" t="s">
        <v>379</v>
      </c>
      <c r="BF18" s="2269" t="s">
        <v>379</v>
      </c>
      <c r="BG18" s="2321" t="s">
        <v>379</v>
      </c>
      <c r="BH18" s="2269" t="s">
        <v>379</v>
      </c>
      <c r="BI18" s="2321" t="s">
        <v>379</v>
      </c>
      <c r="BJ18" s="2269" t="s">
        <v>379</v>
      </c>
      <c r="BK18" s="2321" t="s">
        <v>379</v>
      </c>
      <c r="BL18" s="2269" t="s">
        <v>379</v>
      </c>
      <c r="BM18" s="2375" t="s">
        <v>379</v>
      </c>
      <c r="BN18" s="2269" t="s">
        <v>379</v>
      </c>
      <c r="BO18" s="2375" t="s">
        <v>379</v>
      </c>
      <c r="BP18" s="2269" t="s">
        <v>379</v>
      </c>
      <c r="BQ18" s="2375" t="s">
        <v>379</v>
      </c>
      <c r="BR18" s="2269" t="s">
        <v>379</v>
      </c>
      <c r="BS18" s="298" t="s">
        <v>1261</v>
      </c>
      <c r="CD18" s="514">
        <v>46</v>
      </c>
    </row>
    <row customHeight="1" ht="35.699999999999996">
      <c r="A19" s="514"/>
      <c r="C19" s="535"/>
      <c r="D19" s="548" t="s">
        <v>397</v>
      </c>
      <c r="E19" s="568" t="s">
        <v>919</v>
      </c>
      <c r="F19" s="530" t="s">
        <v>920</v>
      </c>
      <c r="G19" s="826"/>
      <c r="H19" s="115"/>
      <c r="I19" s="826"/>
      <c r="J19" s="827"/>
      <c r="K19" s="826"/>
      <c r="L19" s="2510"/>
      <c r="M19" s="826"/>
      <c r="N19" s="2510"/>
      <c r="O19" s="826"/>
      <c r="P19" s="2510"/>
      <c r="Q19" s="826"/>
      <c r="R19" s="2510"/>
      <c r="S19" s="826"/>
      <c r="T19" s="2510"/>
      <c r="U19" s="826"/>
      <c r="V19" s="2510"/>
      <c r="W19" s="826"/>
      <c r="X19" s="2510"/>
      <c r="Y19" s="826"/>
      <c r="Z19" s="2510"/>
      <c r="AA19" s="826"/>
      <c r="AB19" s="2510"/>
      <c r="AC19" s="826"/>
      <c r="AD19" s="2510"/>
      <c r="AE19" s="826"/>
      <c r="AF19" s="2510"/>
      <c r="AG19" s="826"/>
      <c r="AH19" s="2510"/>
      <c r="AI19" s="826"/>
      <c r="AJ19" s="2510"/>
      <c r="AK19" s="826"/>
      <c r="AL19" s="2510"/>
      <c r="AM19" s="826"/>
      <c r="AN19" s="2510"/>
      <c r="AO19" s="826"/>
      <c r="AP19" s="2510"/>
      <c r="AQ19" s="826"/>
      <c r="AR19" s="2510"/>
      <c r="AS19" s="826"/>
      <c r="AT19" s="2510"/>
      <c r="AU19" s="826"/>
      <c r="AV19" s="2510"/>
      <c r="AW19" s="826"/>
      <c r="AX19" s="2510"/>
      <c r="AY19" s="826"/>
      <c r="AZ19" s="2510"/>
      <c r="BA19" s="826"/>
      <c r="BB19" s="2510"/>
      <c r="BC19" s="826"/>
      <c r="BD19" s="2510"/>
      <c r="BE19" s="826"/>
      <c r="BF19" s="2510"/>
      <c r="BG19" s="826"/>
      <c r="BH19" s="2510"/>
      <c r="BI19" s="826"/>
      <c r="BJ19" s="2510"/>
      <c r="BK19" s="826"/>
      <c r="BL19" s="2510"/>
      <c r="BM19" s="826"/>
      <c r="BN19" s="2510"/>
      <c r="BO19" s="826"/>
      <c r="BP19" s="2510"/>
      <c r="BQ19" s="826"/>
      <c r="BR19" s="2510"/>
      <c r="BS19" s="688"/>
      <c r="CD19" s="514">
        <v>34</v>
      </c>
    </row>
    <row customHeight="1" ht="35.699999999999996">
      <c r="A20" s="514"/>
      <c r="C20" s="535"/>
      <c r="D20" s="1899" t="s">
        <v>405</v>
      </c>
      <c r="E20" s="568" t="s">
        <v>921</v>
      </c>
      <c r="F20" s="530" t="s">
        <v>922</v>
      </c>
      <c r="G20" s="826"/>
      <c r="H20" s="115"/>
      <c r="I20" s="826"/>
      <c r="J20" s="115"/>
      <c r="K20" s="826"/>
      <c r="L20" s="2510"/>
      <c r="M20" s="826"/>
      <c r="N20" s="2510"/>
      <c r="O20" s="826"/>
      <c r="P20" s="2510"/>
      <c r="Q20" s="826"/>
      <c r="R20" s="2510"/>
      <c r="S20" s="826"/>
      <c r="T20" s="2510"/>
      <c r="U20" s="826"/>
      <c r="V20" s="2510"/>
      <c r="W20" s="826"/>
      <c r="X20" s="2510"/>
      <c r="Y20" s="826"/>
      <c r="Z20" s="2510"/>
      <c r="AA20" s="826"/>
      <c r="AB20" s="2510"/>
      <c r="AC20" s="826"/>
      <c r="AD20" s="2510"/>
      <c r="AE20" s="826"/>
      <c r="AF20" s="2510"/>
      <c r="AG20" s="826"/>
      <c r="AH20" s="2510"/>
      <c r="AI20" s="826"/>
      <c r="AJ20" s="2510"/>
      <c r="AK20" s="826"/>
      <c r="AL20" s="2510"/>
      <c r="AM20" s="826"/>
      <c r="AN20" s="2510"/>
      <c r="AO20" s="826"/>
      <c r="AP20" s="2510"/>
      <c r="AQ20" s="826"/>
      <c r="AR20" s="2510"/>
      <c r="AS20" s="826"/>
      <c r="AT20" s="2510"/>
      <c r="AU20" s="826"/>
      <c r="AV20" s="2510"/>
      <c r="AW20" s="826"/>
      <c r="AX20" s="2510"/>
      <c r="AY20" s="826"/>
      <c r="AZ20" s="2510"/>
      <c r="BA20" s="826"/>
      <c r="BB20" s="2510"/>
      <c r="BC20" s="826"/>
      <c r="BD20" s="2510"/>
      <c r="BE20" s="826"/>
      <c r="BF20" s="2510"/>
      <c r="BG20" s="826"/>
      <c r="BH20" s="2510"/>
      <c r="BI20" s="826"/>
      <c r="BJ20" s="2510"/>
      <c r="BK20" s="826"/>
      <c r="BL20" s="2510"/>
      <c r="BM20" s="826"/>
      <c r="BN20" s="2510"/>
      <c r="BO20" s="826"/>
      <c r="BP20" s="2510"/>
      <c r="BQ20" s="826"/>
      <c r="BR20" s="2510"/>
      <c r="BS20" s="688"/>
      <c r="CD20" s="514">
        <v>34</v>
      </c>
    </row>
    <row customHeight="1" ht="48.29999999999999">
      <c r="A21" s="514"/>
      <c r="C21" s="535"/>
      <c r="D21" s="1899" t="s">
        <v>407</v>
      </c>
      <c r="E21" s="568" t="s">
        <v>923</v>
      </c>
      <c r="F21" s="530" t="s">
        <v>644</v>
      </c>
      <c r="G21" s="689"/>
      <c r="H21" s="115"/>
      <c r="I21" s="689"/>
      <c r="J21" s="115"/>
      <c r="K21" s="689"/>
      <c r="L21" s="2510"/>
      <c r="M21" s="689"/>
      <c r="N21" s="2510"/>
      <c r="O21" s="689"/>
      <c r="P21" s="2510"/>
      <c r="Q21" s="689"/>
      <c r="R21" s="2510"/>
      <c r="S21" s="689"/>
      <c r="T21" s="2510"/>
      <c r="U21" s="689"/>
      <c r="V21" s="2510"/>
      <c r="W21" s="689"/>
      <c r="X21" s="2510"/>
      <c r="Y21" s="689"/>
      <c r="Z21" s="2510"/>
      <c r="AA21" s="689"/>
      <c r="AB21" s="2510"/>
      <c r="AC21" s="689"/>
      <c r="AD21" s="2510"/>
      <c r="AE21" s="689"/>
      <c r="AF21" s="2510"/>
      <c r="AG21" s="689"/>
      <c r="AH21" s="2510"/>
      <c r="AI21" s="689"/>
      <c r="AJ21" s="2510"/>
      <c r="AK21" s="689"/>
      <c r="AL21" s="2510"/>
      <c r="AM21" s="689"/>
      <c r="AN21" s="2510"/>
      <c r="AO21" s="689"/>
      <c r="AP21" s="2510"/>
      <c r="AQ21" s="689"/>
      <c r="AR21" s="2510"/>
      <c r="AS21" s="689"/>
      <c r="AT21" s="2510"/>
      <c r="AU21" s="689"/>
      <c r="AV21" s="2510"/>
      <c r="AW21" s="689"/>
      <c r="AX21" s="2510"/>
      <c r="AY21" s="689"/>
      <c r="AZ21" s="2510"/>
      <c r="BA21" s="689"/>
      <c r="BB21" s="2510"/>
      <c r="BC21" s="689"/>
      <c r="BD21" s="2510"/>
      <c r="BE21" s="689"/>
      <c r="BF21" s="2510"/>
      <c r="BG21" s="689"/>
      <c r="BH21" s="2510"/>
      <c r="BI21" s="689"/>
      <c r="BJ21" s="2510"/>
      <c r="BK21" s="689"/>
      <c r="BL21" s="2510"/>
      <c r="BM21" s="689"/>
      <c r="BN21" s="2510"/>
      <c r="BO21" s="689"/>
      <c r="BP21" s="2510"/>
      <c r="BQ21" s="689"/>
      <c r="BR21" s="2510"/>
      <c r="BS21" s="688"/>
      <c r="CD21" s="514">
        <v>46</v>
      </c>
    </row>
    <row customHeight="1" ht="67.5" hidden="1">
      <c r="A22" s="514"/>
      <c r="C22" s="535"/>
      <c r="D22" s="530">
        <v>5</v>
      </c>
      <c r="E22" s="288" t="s">
        <v>1262</v>
      </c>
      <c r="F22" s="530" t="s">
        <v>631</v>
      </c>
      <c r="G22" s="690"/>
      <c r="H22" s="691"/>
      <c r="I22" s="690"/>
      <c r="J22" s="691"/>
      <c r="K22" s="690"/>
      <c r="L22" s="1448"/>
      <c r="M22" s="690"/>
      <c r="N22" s="1448"/>
      <c r="O22" s="690"/>
      <c r="P22" s="1448"/>
      <c r="Q22" s="690"/>
      <c r="R22" s="1448"/>
      <c r="S22" s="690"/>
      <c r="T22" s="1448"/>
      <c r="U22" s="690"/>
      <c r="V22" s="1448"/>
      <c r="W22" s="690"/>
      <c r="X22" s="1448"/>
      <c r="Y22" s="690"/>
      <c r="Z22" s="1448"/>
      <c r="AA22" s="690"/>
      <c r="AB22" s="1448"/>
      <c r="AC22" s="690"/>
      <c r="AD22" s="1448"/>
      <c r="AE22" s="690"/>
      <c r="AF22" s="1448"/>
      <c r="AG22" s="690"/>
      <c r="AH22" s="1448"/>
      <c r="AI22" s="690"/>
      <c r="AJ22" s="1448"/>
      <c r="AK22" s="690"/>
      <c r="AL22" s="1448"/>
      <c r="AM22" s="690"/>
      <c r="AN22" s="1448"/>
      <c r="AO22" s="690"/>
      <c r="AP22" s="1448"/>
      <c r="AQ22" s="690"/>
      <c r="AR22" s="1448"/>
      <c r="AS22" s="690"/>
      <c r="AT22" s="1448"/>
      <c r="AU22" s="690"/>
      <c r="AV22" s="1448"/>
      <c r="AW22" s="690"/>
      <c r="AX22" s="1448"/>
      <c r="AY22" s="690"/>
      <c r="AZ22" s="1448"/>
      <c r="BA22" s="690"/>
      <c r="BB22" s="1448"/>
      <c r="BC22" s="690"/>
      <c r="BD22" s="1448"/>
      <c r="BE22" s="690"/>
      <c r="BF22" s="1448"/>
      <c r="BG22" s="690"/>
      <c r="BH22" s="1448"/>
      <c r="BI22" s="690"/>
      <c r="BJ22" s="1448"/>
      <c r="BK22" s="690"/>
      <c r="BL22" s="1448"/>
      <c r="BM22" s="690"/>
      <c r="BN22" s="1448"/>
      <c r="BO22" s="690"/>
      <c r="BP22" s="1448"/>
      <c r="BQ22" s="690"/>
      <c r="BR22" s="1448"/>
      <c r="BS22" s="298" t="s">
        <v>1263</v>
      </c>
      <c r="CD22" s="514">
        <v>0</v>
      </c>
    </row>
    <row customHeight="1" ht="33.75" hidden="1">
      <c r="C23" s="460"/>
      <c r="D23" s="530">
        <v>6</v>
      </c>
      <c r="E23" s="288" t="s">
        <v>1264</v>
      </c>
      <c r="F23" s="530" t="s">
        <v>1265</v>
      </c>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0"/>
      <c r="AG23" s="690"/>
      <c r="AH23" s="690"/>
      <c r="AI23" s="690"/>
      <c r="AJ23" s="690"/>
      <c r="AK23" s="690"/>
      <c r="AL23" s="690"/>
      <c r="AM23" s="690"/>
      <c r="AN23" s="690"/>
      <c r="AO23" s="690"/>
      <c r="AP23" s="690"/>
      <c r="AQ23" s="690"/>
      <c r="AR23" s="690"/>
      <c r="AS23" s="690"/>
      <c r="AT23" s="690"/>
      <c r="AU23" s="690"/>
      <c r="AV23" s="690"/>
      <c r="AW23" s="690"/>
      <c r="AX23" s="690"/>
      <c r="AY23" s="690"/>
      <c r="AZ23" s="690"/>
      <c r="BA23" s="690"/>
      <c r="BB23" s="690"/>
      <c r="BC23" s="690"/>
      <c r="BD23" s="690"/>
      <c r="BE23" s="690"/>
      <c r="BF23" s="690"/>
      <c r="BG23" s="690"/>
      <c r="BH23" s="690"/>
      <c r="BI23" s="690"/>
      <c r="BJ23" s="690"/>
      <c r="BK23" s="690"/>
      <c r="BL23" s="690"/>
      <c r="BM23" s="690"/>
      <c r="BN23" s="690"/>
      <c r="BO23" s="690"/>
      <c r="BP23" s="690"/>
      <c r="BQ23" s="690"/>
      <c r="BR23" s="690"/>
      <c r="BS23" s="298" t="s">
        <v>1266</v>
      </c>
      <c r="CD23" s="514">
        <v>0</v>
      </c>
    </row>
    <row customHeight="1" ht="15.75">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644"/>
      <c r="AM24" s="1644"/>
      <c r="AN24" s="1644"/>
      <c r="AO24" s="1644"/>
      <c r="AP24" s="1644"/>
      <c r="AQ24" s="1644"/>
      <c r="AR24" s="1644"/>
      <c r="AS24" s="1644"/>
      <c r="AT24" s="1644"/>
      <c r="AU24" s="1644"/>
      <c r="AV24" s="1644"/>
      <c r="AW24" s="1644"/>
      <c r="AX24" s="1644"/>
      <c r="AY24" s="1644"/>
      <c r="AZ24" s="1644"/>
      <c r="BA24" s="1644"/>
      <c r="BB24" s="1644"/>
      <c r="BC24" s="1644"/>
      <c r="BD24" s="1644"/>
      <c r="BE24" s="1644"/>
      <c r="BF24" s="1644"/>
      <c r="BG24" s="1644"/>
      <c r="BH24" s="1644"/>
      <c r="BI24" s="1644"/>
      <c r="BJ24" s="1644"/>
      <c r="BK24" s="1644"/>
      <c r="BL24" s="1644"/>
      <c r="BM24" s="1644"/>
      <c r="BN24" s="1644"/>
      <c r="BO24" s="1644"/>
      <c r="BP24" s="1644"/>
      <c r="BQ24" s="1644"/>
      <c r="BR24" s="1644"/>
      <c r="CD24" s="514">
        <v>15</v>
      </c>
    </row>
    <row customHeight="1" ht="15.75">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644"/>
      <c r="AM25" s="1644"/>
      <c r="AN25" s="1644"/>
      <c r="AO25" s="1644"/>
      <c r="AP25" s="1644"/>
      <c r="AQ25" s="1644"/>
      <c r="AR25" s="1644"/>
      <c r="AS25" s="1644"/>
      <c r="AT25" s="1644"/>
      <c r="AU25" s="1644"/>
      <c r="AV25" s="1644"/>
      <c r="AW25" s="1644"/>
      <c r="AX25" s="1644"/>
      <c r="AY25" s="1644"/>
      <c r="AZ25" s="1644"/>
      <c r="BA25" s="1644"/>
      <c r="BB25" s="1644"/>
      <c r="BC25" s="1644"/>
      <c r="BD25" s="1644"/>
      <c r="BE25" s="1644"/>
      <c r="BF25" s="1644"/>
      <c r="BG25" s="1644"/>
      <c r="BH25" s="1644"/>
      <c r="BI25" s="1644"/>
      <c r="BJ25" s="1644"/>
      <c r="BK25" s="1644"/>
      <c r="BL25" s="1644"/>
      <c r="BM25" s="1644"/>
      <c r="BN25" s="1644"/>
      <c r="BO25" s="1644"/>
      <c r="BP25" s="1644"/>
      <c r="BQ25" s="1644"/>
      <c r="BR25" s="1644"/>
      <c r="CD25" s="514">
        <v>15</v>
      </c>
    </row>
    <row customHeight="1" ht="15.75">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644"/>
      <c r="AM26" s="1644"/>
      <c r="AN26" s="1644"/>
      <c r="AO26" s="1644"/>
      <c r="AP26" s="1644"/>
      <c r="AQ26" s="1644"/>
      <c r="AR26" s="1644"/>
      <c r="AS26" s="1644"/>
      <c r="AT26" s="1644"/>
      <c r="AU26" s="1644"/>
      <c r="AV26" s="1644"/>
      <c r="AW26" s="1644"/>
      <c r="AX26" s="1644"/>
      <c r="AY26" s="1644"/>
      <c r="AZ26" s="1644"/>
      <c r="BA26" s="1644"/>
      <c r="BB26" s="1644"/>
      <c r="BC26" s="1644"/>
      <c r="BD26" s="1644"/>
      <c r="BE26" s="1644"/>
      <c r="BF26" s="1644"/>
      <c r="BG26" s="1644"/>
      <c r="BH26" s="1644"/>
      <c r="BI26" s="1644"/>
      <c r="BJ26" s="1644"/>
      <c r="BK26" s="1644"/>
      <c r="BL26" s="1644"/>
      <c r="BM26" s="1644"/>
      <c r="BN26" s="1644"/>
      <c r="BO26" s="1644"/>
      <c r="BP26" s="1644"/>
      <c r="BQ26" s="1644"/>
      <c r="BR26" s="1644"/>
      <c r="CD26" s="514">
        <v>15</v>
      </c>
    </row>
    <row customHeight="1" ht="15.75">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644"/>
      <c r="AM27" s="1644"/>
      <c r="AN27" s="1644"/>
      <c r="AO27" s="1644"/>
      <c r="AP27" s="1644"/>
      <c r="AQ27" s="1644"/>
      <c r="AR27" s="1644"/>
      <c r="AS27" s="1644"/>
      <c r="AT27" s="1644"/>
      <c r="AU27" s="1644"/>
      <c r="AV27" s="1644"/>
      <c r="AW27" s="1644"/>
      <c r="AX27" s="1644"/>
      <c r="AY27" s="1644"/>
      <c r="AZ27" s="1644"/>
      <c r="BA27" s="1644"/>
      <c r="BB27" s="1644"/>
      <c r="BC27" s="1644"/>
      <c r="BD27" s="1644"/>
      <c r="BE27" s="1644"/>
      <c r="BF27" s="1644"/>
      <c r="BG27" s="1644"/>
      <c r="BH27" s="1644"/>
      <c r="BI27" s="1644"/>
      <c r="BJ27" s="1644"/>
      <c r="BK27" s="1644"/>
      <c r="BL27" s="1644"/>
      <c r="BM27" s="1644"/>
      <c r="BN27" s="1644"/>
      <c r="BO27" s="1644"/>
      <c r="BP27" s="1644"/>
      <c r="BQ27" s="1644"/>
      <c r="BR27" s="1644"/>
      <c r="CD27" s="514">
        <v>15</v>
      </c>
    </row>
    <row customHeight="1" ht="15.75">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644"/>
      <c r="AM28" s="1644"/>
      <c r="AN28" s="1644"/>
      <c r="AO28" s="1644"/>
      <c r="AP28" s="1644"/>
      <c r="AQ28" s="1644"/>
      <c r="AR28" s="1644"/>
      <c r="AS28" s="1644"/>
      <c r="AT28" s="1644"/>
      <c r="AU28" s="1644"/>
      <c r="AV28" s="1644"/>
      <c r="AW28" s="1644"/>
      <c r="AX28" s="1644"/>
      <c r="AY28" s="1644"/>
      <c r="AZ28" s="1644"/>
      <c r="BA28" s="1644"/>
      <c r="BB28" s="1644"/>
      <c r="BC28" s="1644"/>
      <c r="BD28" s="1644"/>
      <c r="BE28" s="1644"/>
      <c r="BF28" s="1644"/>
      <c r="BG28" s="1644"/>
      <c r="BH28" s="1644"/>
      <c r="BI28" s="1644"/>
      <c r="BJ28" s="1644"/>
      <c r="BK28" s="1644"/>
      <c r="BL28" s="1644"/>
      <c r="BM28" s="1644"/>
      <c r="BN28" s="1644"/>
      <c r="BO28" s="1644"/>
      <c r="BP28" s="1644"/>
      <c r="BQ28" s="1644"/>
      <c r="BR28" s="1644"/>
      <c r="CD28" s="514">
        <v>15</v>
      </c>
    </row>
    <row customHeight="1" ht="15.75">
      <c r="J29" s="828"/>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644"/>
      <c r="AM29" s="1644"/>
      <c r="AN29" s="1644"/>
      <c r="AO29" s="1644"/>
      <c r="AP29" s="1644"/>
      <c r="AQ29" s="1644"/>
      <c r="AR29" s="1644"/>
      <c r="AS29" s="1644"/>
      <c r="AT29" s="1644"/>
      <c r="AU29" s="1644"/>
      <c r="AV29" s="1644"/>
      <c r="AW29" s="1644"/>
      <c r="AX29" s="1644"/>
      <c r="AY29" s="1644"/>
      <c r="AZ29" s="1644"/>
      <c r="BA29" s="1644"/>
      <c r="BB29" s="1644"/>
      <c r="BC29" s="1644"/>
      <c r="BD29" s="1644"/>
      <c r="BE29" s="1644"/>
      <c r="BF29" s="1644"/>
      <c r="BG29" s="1644"/>
      <c r="BH29" s="1644"/>
      <c r="BI29" s="1644"/>
      <c r="BJ29" s="1644"/>
      <c r="BK29" s="1644"/>
      <c r="BL29" s="1644"/>
      <c r="BM29" s="1644"/>
      <c r="BN29" s="1644"/>
      <c r="BO29" s="1644"/>
      <c r="BP29" s="1644"/>
      <c r="BQ29" s="1644"/>
      <c r="BR29" s="1644"/>
      <c r="CD29" s="514">
        <v>15</v>
      </c>
    </row>
    <row customHeight="1" ht="22.5" hidden="1">
      <c r="A30" s="458" t="s">
        <v>82</v>
      </c>
      <c r="B30" s="514">
        <v>0</v>
      </c>
      <c r="C30" s="692">
        <v>4</v>
      </c>
      <c r="D30" s="514">
        <v>6</v>
      </c>
      <c r="E30" s="514">
        <v>47</v>
      </c>
      <c r="F30" s="514">
        <v>9</v>
      </c>
      <c r="G30" s="767">
        <v>0</v>
      </c>
      <c r="H30" s="767">
        <v>0</v>
      </c>
      <c r="I30" s="514">
        <v>25</v>
      </c>
      <c r="J30" s="514">
        <v>33</v>
      </c>
      <c r="K30" s="1644">
        <v>0</v>
      </c>
      <c r="L30" s="1644">
        <v>0</v>
      </c>
      <c r="M30" s="1644">
        <v>0</v>
      </c>
      <c r="N30" s="1644">
        <v>0</v>
      </c>
      <c r="O30" s="1644">
        <v>0</v>
      </c>
      <c r="P30" s="1644">
        <v>0</v>
      </c>
      <c r="Q30" s="1644">
        <v>0</v>
      </c>
      <c r="R30" s="1644">
        <v>0</v>
      </c>
      <c r="S30" s="1644">
        <v>0</v>
      </c>
      <c r="T30" s="1644">
        <v>0</v>
      </c>
      <c r="U30" s="1644">
        <v>0</v>
      </c>
      <c r="V30" s="1644">
        <v>0</v>
      </c>
      <c r="W30" s="1644">
        <v>0</v>
      </c>
      <c r="X30" s="1644">
        <v>0</v>
      </c>
      <c r="Y30" s="1644">
        <v>0</v>
      </c>
      <c r="Z30" s="1644">
        <v>0</v>
      </c>
      <c r="AA30" s="1644">
        <v>0</v>
      </c>
      <c r="AB30" s="1644">
        <v>0</v>
      </c>
      <c r="AC30" s="1644">
        <v>0</v>
      </c>
      <c r="AD30" s="1644">
        <v>0</v>
      </c>
      <c r="AE30" s="1644">
        <v>0</v>
      </c>
      <c r="AF30" s="1644">
        <v>0</v>
      </c>
      <c r="AG30" s="1644">
        <v>0</v>
      </c>
      <c r="AH30" s="1644">
        <v>0</v>
      </c>
      <c r="AI30" s="1644">
        <v>0</v>
      </c>
      <c r="AJ30" s="1644">
        <v>0</v>
      </c>
      <c r="AK30" s="1644">
        <v>0</v>
      </c>
      <c r="AL30" s="1644">
        <v>0</v>
      </c>
      <c r="AM30" s="1644">
        <v>0</v>
      </c>
      <c r="AN30" s="1644">
        <v>0</v>
      </c>
      <c r="AO30" s="1644">
        <v>0</v>
      </c>
      <c r="AP30" s="1644">
        <v>0</v>
      </c>
      <c r="AQ30" s="1644">
        <v>0</v>
      </c>
      <c r="AR30" s="1644">
        <v>0</v>
      </c>
      <c r="AS30" s="1644">
        <v>0</v>
      </c>
      <c r="AT30" s="1644">
        <v>0</v>
      </c>
      <c r="AU30" s="1644">
        <v>0</v>
      </c>
      <c r="AV30" s="1644">
        <v>0</v>
      </c>
      <c r="AW30" s="1644">
        <v>0</v>
      </c>
      <c r="AX30" s="1644">
        <v>0</v>
      </c>
      <c r="AY30" s="1644">
        <v>0</v>
      </c>
      <c r="AZ30" s="1644">
        <v>0</v>
      </c>
      <c r="BA30" s="1644">
        <v>0</v>
      </c>
      <c r="BB30" s="1644">
        <v>0</v>
      </c>
      <c r="BC30" s="1644">
        <v>0</v>
      </c>
      <c r="BD30" s="1644">
        <v>0</v>
      </c>
      <c r="BE30" s="1644">
        <v>0</v>
      </c>
      <c r="BF30" s="1644">
        <v>0</v>
      </c>
      <c r="BG30" s="1644">
        <v>0</v>
      </c>
      <c r="BH30" s="1644">
        <v>0</v>
      </c>
      <c r="BI30" s="1644">
        <v>0</v>
      </c>
      <c r="BJ30" s="1644">
        <v>0</v>
      </c>
      <c r="BK30" s="1644">
        <v>0</v>
      </c>
      <c r="BL30" s="1644">
        <v>0</v>
      </c>
      <c r="BM30" s="1644">
        <v>0</v>
      </c>
      <c r="BN30" s="1644">
        <v>0</v>
      </c>
      <c r="BO30" s="1644">
        <v>0</v>
      </c>
      <c r="BP30" s="1644">
        <v>0</v>
      </c>
      <c r="BQ30" s="1644">
        <v>0</v>
      </c>
      <c r="BR30" s="1644">
        <v>0</v>
      </c>
      <c r="BS30" s="426">
        <v>50</v>
      </c>
      <c r="BT30" s="514">
        <v>10</v>
      </c>
      <c r="BU30" s="514">
        <v>10</v>
      </c>
      <c r="BV30" s="514">
        <v>10</v>
      </c>
      <c r="BW30" s="514">
        <v>10</v>
      </c>
      <c r="BX30" s="514">
        <v>10</v>
      </c>
      <c r="BY30" s="514">
        <v>10</v>
      </c>
      <c r="BZ30" s="514">
        <v>10</v>
      </c>
      <c r="CA30" s="514">
        <v>10</v>
      </c>
      <c r="CB30" s="514">
        <v>10</v>
      </c>
      <c r="CC30" s="684">
        <v>10</v>
      </c>
      <c r="CD30" s="514">
        <v>23</v>
      </c>
    </row>
  </sheetData>
  <sheetProtection formatColumns="0" formatRows="0" autoFilter="0" sort="0" insertRows="0" insertColumns="1" deleteRows="0" deleteColumns="0"/>
  <mergeCells count="103">
    <mergeCell ref="D5:J5"/>
    <mergeCell ref="D6:J6"/>
    <mergeCell ref="BS9:B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 ref="AM9:AN9"/>
    <mergeCell ref="AM10:AN10"/>
    <mergeCell ref="AM11:AN11"/>
    <mergeCell ref="AO9:AP9"/>
    <mergeCell ref="AO10:AP10"/>
    <mergeCell ref="AO11:AP11"/>
    <mergeCell ref="AQ9:AR9"/>
    <mergeCell ref="AQ10:AR10"/>
    <mergeCell ref="AQ11:AR11"/>
    <mergeCell ref="AS9:AT9"/>
    <mergeCell ref="AS10:AT10"/>
    <mergeCell ref="AS11:AT11"/>
    <mergeCell ref="AU9:AV9"/>
    <mergeCell ref="AU10:AV10"/>
    <mergeCell ref="AU11:AV11"/>
    <mergeCell ref="AW9:AX9"/>
    <mergeCell ref="AW10:AX10"/>
    <mergeCell ref="AW11:AX11"/>
    <mergeCell ref="AY9:AZ9"/>
    <mergeCell ref="AY10:AZ10"/>
    <mergeCell ref="AY11:AZ11"/>
    <mergeCell ref="BA9:BB9"/>
    <mergeCell ref="BA10:BB10"/>
    <mergeCell ref="BA11:BB11"/>
    <mergeCell ref="BC9:BD9"/>
    <mergeCell ref="BC10:BD10"/>
    <mergeCell ref="BC11:BD11"/>
    <mergeCell ref="BE9:BF9"/>
    <mergeCell ref="BE10:BF10"/>
    <mergeCell ref="BE11:BF11"/>
    <mergeCell ref="BG9:BH9"/>
    <mergeCell ref="BG10:BH10"/>
    <mergeCell ref="BG11:BH11"/>
    <mergeCell ref="BI9:BJ9"/>
    <mergeCell ref="BI10:BJ10"/>
    <mergeCell ref="BI11:BJ11"/>
    <mergeCell ref="BK9:BL9"/>
    <mergeCell ref="BK10:BL10"/>
    <mergeCell ref="BK11:BL11"/>
    <mergeCell ref="BM9:BN9"/>
    <mergeCell ref="BM10:BN10"/>
    <mergeCell ref="BM11:BN11"/>
    <mergeCell ref="BO9:BP9"/>
    <mergeCell ref="BO10:BP10"/>
    <mergeCell ref="BO11:BP11"/>
    <mergeCell ref="BQ9:BR9"/>
    <mergeCell ref="BQ10:BR10"/>
    <mergeCell ref="BQ11:BR11"/>
  </mergeCells>
  <dataValidations count="4">
    <dataValidation type="decimal" allowBlank="1" showErrorMessage="1" errorTitle="Ошибка" error="Допускается ввод только неотрицательных чисел!" sqref="G21 I21 K21 M21 O21 Q21 S21 U21 W21 Y21 AA21 AC21 AE21 AG21 AI21 AK21 AM21 AO21 AQ21 AS21 AU21 AW21 AY21 BA21 BC21 BE21 BG21 BI21 BK21 BM21 BO21 BQ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AM19 AM20 AO19 AO20 AQ19 AQ20 AS19 AS20 AU19 AU20 AW19 AW20 AY19 AY20 BA19 BA20 BC19 BC20 BE19 BE20 BG19 BG20 BI19 BI20 BK19 BK20 BM19 BM20 BO19 BO20 BQ19 BQ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AN19:AN21 AP19:AP21 AR19:AR21 AT19:AT21 AV19:AV21 AX19:AX21 AZ19:AZ21 BB19:BB21 BD19:BD21 BF19:BF21 BH19:BH21 BJ19:BJ21 BL19:BL21 BN19:BN21 BP19:BP21 BR19:BR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35B28FE-0801-469F-0A8E-0.886F71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1267</v>
      </c>
      <c r="B1" s="1076" t="s">
        <v>1268</v>
      </c>
      <c r="C1" s="1076" t="s">
        <v>1269</v>
      </c>
      <c r="D1" s="1076" t="s">
        <v>1270</v>
      </c>
      <c r="E1" s="1076" t="s">
        <v>1271</v>
      </c>
      <c r="F1" s="1076" t="s">
        <v>1272</v>
      </c>
      <c r="G1" s="1076" t="s">
        <v>1273</v>
      </c>
      <c r="H1" s="1076" t="s">
        <v>1274</v>
      </c>
      <c r="I1" s="1076" t="s">
        <v>1275</v>
      </c>
      <c r="J1" s="1076" t="s">
        <v>1276</v>
      </c>
      <c r="K1" s="1076" t="s">
        <v>1277</v>
      </c>
      <c r="L1" s="1076" t="s">
        <v>1278</v>
      </c>
      <c r="M1" s="1076"/>
      <c r="N1" s="1076" t="s">
        <v>1279</v>
      </c>
      <c r="O1" s="1076" t="s">
        <v>1280</v>
      </c>
      <c r="P1" s="1076" t="s">
        <v>1281</v>
      </c>
      <c r="Q1" s="1076" t="s">
        <v>1282</v>
      </c>
      <c r="R1" s="1076" t="s">
        <v>1283</v>
      </c>
      <c r="S1" s="1076" t="s">
        <v>1284</v>
      </c>
      <c r="T1" s="1076" t="s">
        <v>1285</v>
      </c>
      <c r="U1" s="1076" t="s">
        <v>1286</v>
      </c>
      <c r="V1" s="1076"/>
      <c r="W1" s="806" t="s">
        <v>1287</v>
      </c>
      <c r="X1" s="1076" t="s">
        <v>1288</v>
      </c>
      <c r="Y1" s="1076" t="s">
        <v>1289</v>
      </c>
      <c r="Z1" s="1076"/>
      <c r="AA1" s="1076" t="s">
        <v>1290</v>
      </c>
      <c r="AB1" s="1076"/>
      <c r="AC1" s="1076" t="s">
        <v>1291</v>
      </c>
      <c r="AD1" s="1076"/>
      <c r="AF1" s="1076" t="s">
        <v>1292</v>
      </c>
      <c r="AH1" s="1076" t="s">
        <v>1293</v>
      </c>
      <c r="AI1" s="1076" t="s">
        <v>1294</v>
      </c>
      <c r="AK1" s="1076" t="s">
        <v>1295</v>
      </c>
      <c r="AM1" s="1076" t="s">
        <v>1296</v>
      </c>
      <c r="AP1" s="1076" t="s">
        <v>1297</v>
      </c>
      <c r="AQ1" s="1076" t="s">
        <v>1298</v>
      </c>
      <c r="AS1" s="1076" t="s">
        <v>1299</v>
      </c>
      <c r="AU1" s="1076" t="s">
        <v>1300</v>
      </c>
      <c r="AW1" s="1076" t="s">
        <v>1301</v>
      </c>
      <c r="AX1" s="1076" t="s">
        <v>1302</v>
      </c>
      <c r="AZ1" s="1161" t="s">
        <v>1303</v>
      </c>
      <c r="BB1" s="1076" t="s">
        <v>1304</v>
      </c>
      <c r="BC1" s="1076"/>
      <c r="BE1" s="1076" t="s">
        <v>1305</v>
      </c>
      <c r="BF1" s="1076" t="s">
        <v>1306</v>
      </c>
      <c r="BH1" s="1078" t="s">
        <v>910</v>
      </c>
      <c r="BI1" s="1079"/>
      <c r="BJ1" s="1080" t="s">
        <v>1307</v>
      </c>
      <c r="BK1" s="1079"/>
      <c r="BL1" s="1081" t="s">
        <v>1009</v>
      </c>
      <c r="BM1" s="1079"/>
      <c r="BN1" s="1082" t="s">
        <v>1308</v>
      </c>
      <c r="BS1" s="1436"/>
    </row>
    <row customHeight="1" ht="11.25">
      <c r="A2" s="1083" t="s">
        <v>1309</v>
      </c>
      <c r="B2" s="1084">
        <v>2000</v>
      </c>
      <c r="C2" s="1084">
        <v>2022</v>
      </c>
      <c r="D2" s="1084" t="s">
        <v>66</v>
      </c>
      <c r="E2" s="1085" t="s">
        <v>1310</v>
      </c>
      <c r="F2" s="1085" t="s">
        <v>1311</v>
      </c>
      <c r="G2" s="1085" t="s">
        <v>1312</v>
      </c>
      <c r="H2" s="1086" t="s">
        <v>55</v>
      </c>
      <c r="I2" s="1085" t="s">
        <v>109</v>
      </c>
      <c r="J2" s="1085" t="s">
        <v>1313</v>
      </c>
      <c r="K2" s="1087" t="s">
        <v>1314</v>
      </c>
      <c r="L2" s="1088"/>
      <c r="M2" s="1087">
        <v>1</v>
      </c>
      <c r="N2" s="1171" t="s">
        <v>1315</v>
      </c>
      <c r="O2" s="1086" t="s">
        <v>1316</v>
      </c>
      <c r="P2" s="1089" t="s">
        <v>38</v>
      </c>
      <c r="Q2" s="1090" t="s">
        <v>1317</v>
      </c>
      <c r="R2" s="152" t="s">
        <v>1318</v>
      </c>
      <c r="S2" s="152" t="s">
        <v>1319</v>
      </c>
      <c r="T2" s="1091" t="s">
        <v>1320</v>
      </c>
      <c r="U2" s="1088" t="s">
        <v>1321</v>
      </c>
      <c r="V2" s="1092">
        <v>1</v>
      </c>
      <c r="W2" s="1093"/>
      <c r="X2" s="1093" t="s">
        <v>1322</v>
      </c>
      <c r="Y2" s="1084" t="s">
        <v>1323</v>
      </c>
      <c r="Z2" s="1094"/>
      <c r="AA2" s="1084" t="s">
        <v>1324</v>
      </c>
      <c r="AB2" s="1095" t="s">
        <v>1324</v>
      </c>
      <c r="AC2" s="1084" t="s">
        <v>1325</v>
      </c>
      <c r="AD2" s="1095" t="s">
        <v>1325</v>
      </c>
      <c r="AF2" s="1086" t="s">
        <v>1321</v>
      </c>
      <c r="AH2" s="1085" t="s">
        <v>1326</v>
      </c>
      <c r="AI2" s="1085" t="s">
        <v>1326</v>
      </c>
      <c r="AK2" s="1085" t="s">
        <v>1327</v>
      </c>
      <c r="AM2" s="1085" t="s">
        <v>1328</v>
      </c>
      <c r="AP2" s="1096" t="s">
        <v>1322</v>
      </c>
      <c r="AQ2" s="1097" t="s">
        <v>1322</v>
      </c>
      <c r="AS2" s="1084" t="s">
        <v>1329</v>
      </c>
      <c r="AU2" s="1129" t="s">
        <v>1330</v>
      </c>
      <c r="AW2" s="1129" t="s">
        <v>1331</v>
      </c>
      <c r="AX2" s="1129" t="s">
        <v>1331</v>
      </c>
      <c r="AZ2" s="1129" t="s">
        <v>53</v>
      </c>
      <c r="BB2" s="1129" t="s">
        <v>1332</v>
      </c>
      <c r="BC2" s="1129" t="s">
        <v>1333</v>
      </c>
      <c r="BE2" s="1129">
        <v>2000</v>
      </c>
      <c r="BF2" s="1129" t="s">
        <v>1334</v>
      </c>
    </row>
    <row customHeight="1" ht="11.25">
      <c r="A3" s="1083" t="s">
        <v>1335</v>
      </c>
      <c r="B3" s="1084">
        <v>2001</v>
      </c>
      <c r="C3" s="1084">
        <v>2023</v>
      </c>
      <c r="D3" s="1084" t="s">
        <v>19</v>
      </c>
      <c r="E3" s="1085" t="s">
        <v>1336</v>
      </c>
      <c r="F3" s="1085" t="s">
        <v>35</v>
      </c>
      <c r="G3" s="1085" t="s">
        <v>1337</v>
      </c>
      <c r="H3" s="1086" t="s">
        <v>1338</v>
      </c>
      <c r="I3" s="1085" t="s">
        <v>110</v>
      </c>
      <c r="J3" s="1085" t="s">
        <v>629</v>
      </c>
      <c r="K3" s="1087" t="s">
        <v>1339</v>
      </c>
      <c r="L3" s="1088">
        <f>_xlfn.IFERROR(MATCH(K3,OFFER_METHOD,0),0)</f>
        <v>0</v>
      </c>
      <c r="M3" s="1087">
        <v>2</v>
      </c>
      <c r="N3" s="1171" t="s">
        <v>1340</v>
      </c>
      <c r="O3" s="1086" t="s">
        <v>1341</v>
      </c>
      <c r="P3" s="1089" t="s">
        <v>1342</v>
      </c>
      <c r="Q3" s="1090" t="s">
        <v>1343</v>
      </c>
      <c r="R3" s="152" t="s">
        <v>1344</v>
      </c>
      <c r="S3" s="152" t="s">
        <v>1345</v>
      </c>
      <c r="T3" s="1091" t="s">
        <v>1346</v>
      </c>
      <c r="U3" s="1088" t="s">
        <v>1347</v>
      </c>
      <c r="V3" s="1092">
        <v>2</v>
      </c>
      <c r="W3" s="1093"/>
      <c r="X3" s="1093" t="s">
        <v>1348</v>
      </c>
      <c r="Y3" s="1084" t="s">
        <v>1323</v>
      </c>
      <c r="Z3" s="1094"/>
      <c r="AA3" s="1084" t="s">
        <v>1349</v>
      </c>
      <c r="AB3" s="1095" t="s">
        <v>1349</v>
      </c>
      <c r="AC3" s="1084" t="s">
        <v>1350</v>
      </c>
      <c r="AD3" s="1095" t="s">
        <v>1350</v>
      </c>
      <c r="AF3" s="1086" t="s">
        <v>1347</v>
      </c>
      <c r="AH3" s="1085" t="s">
        <v>1351</v>
      </c>
      <c r="AI3" s="1085" t="s">
        <v>1352</v>
      </c>
      <c r="AK3" s="1085" t="s">
        <v>1353</v>
      </c>
      <c r="AM3" s="1085" t="s">
        <v>1354</v>
      </c>
      <c r="AP3" s="1096" t="s">
        <v>1355</v>
      </c>
      <c r="AQ3" s="1097" t="s">
        <v>1355</v>
      </c>
      <c r="AS3" s="1084" t="s">
        <v>1356</v>
      </c>
      <c r="AU3" s="1129" t="s">
        <v>1357</v>
      </c>
      <c r="AW3" s="1129" t="s">
        <v>1358</v>
      </c>
      <c r="AX3" s="1129" t="s">
        <v>1358</v>
      </c>
      <c r="AZ3" s="1129" t="s">
        <v>1359</v>
      </c>
      <c r="BB3" s="1129" t="s">
        <v>1360</v>
      </c>
      <c r="BC3" s="1129" t="s">
        <v>1333</v>
      </c>
      <c r="BE3" s="1129">
        <v>2001</v>
      </c>
      <c r="BF3" s="1129" t="s">
        <v>1361</v>
      </c>
      <c r="BH3" s="1076" t="s">
        <v>1362</v>
      </c>
      <c r="BJ3" s="1076" t="s">
        <v>1363</v>
      </c>
      <c r="BL3" s="1076" t="s">
        <v>1364</v>
      </c>
      <c r="BN3" s="1076" t="s">
        <v>1365</v>
      </c>
      <c r="BR3" s="1076" t="s">
        <v>1366</v>
      </c>
      <c r="BS3" s="1437"/>
      <c r="BT3" s="1079"/>
      <c r="BU3" s="1076" t="s">
        <v>1367</v>
      </c>
      <c r="BV3" s="1079"/>
      <c r="BW3" s="1699"/>
      <c r="BX3" s="1701" t="s">
        <v>1368</v>
      </c>
      <c r="CA3" s="1076" t="s">
        <v>1369</v>
      </c>
    </row>
    <row customHeight="1" ht="11.25">
      <c r="A4" s="1083" t="s">
        <v>1370</v>
      </c>
      <c r="B4" s="1084">
        <v>2002</v>
      </c>
      <c r="C4" s="1084">
        <v>2024</v>
      </c>
      <c r="E4" s="1085" t="s">
        <v>1371</v>
      </c>
      <c r="F4" s="1085" t="s">
        <v>1372</v>
      </c>
      <c r="H4" s="1086" t="s">
        <v>1373</v>
      </c>
      <c r="I4" s="1085" t="s">
        <v>90</v>
      </c>
      <c r="J4" s="1085" t="s">
        <v>1374</v>
      </c>
      <c r="K4" s="1087" t="s">
        <v>1375</v>
      </c>
      <c r="L4" s="1088">
        <f>_xlfn.IFERROR(MATCH(K4,OFFER_METHOD,0),0)</f>
        <v>0</v>
      </c>
      <c r="M4" s="1087">
        <v>3</v>
      </c>
      <c r="N4" s="1171" t="s">
        <v>1376</v>
      </c>
      <c r="O4" s="1085" t="s">
        <v>1377</v>
      </c>
      <c r="Q4" s="1090" t="s">
        <v>1378</v>
      </c>
      <c r="R4" s="152" t="s">
        <v>1379</v>
      </c>
      <c r="S4" s="152" t="s">
        <v>1380</v>
      </c>
      <c r="T4" s="1091" t="s">
        <v>1381</v>
      </c>
      <c r="U4" s="1088" t="s">
        <v>1382</v>
      </c>
      <c r="V4" s="1092">
        <v>3</v>
      </c>
      <c r="W4" s="1093"/>
      <c r="X4" s="1093" t="s">
        <v>1383</v>
      </c>
      <c r="Y4" s="1084" t="s">
        <v>1323</v>
      </c>
      <c r="Z4" s="1100"/>
      <c r="AC4" s="1084" t="s">
        <v>1384</v>
      </c>
      <c r="AD4" s="1095" t="s">
        <v>1384</v>
      </c>
      <c r="AF4" s="1086" t="s">
        <v>1382</v>
      </c>
      <c r="AH4" s="1086" t="s">
        <v>1385</v>
      </c>
      <c r="AK4" s="1085" t="s">
        <v>1386</v>
      </c>
      <c r="AM4" s="1085" t="s">
        <v>1387</v>
      </c>
      <c r="AP4" s="1096" t="s">
        <v>1348</v>
      </c>
      <c r="AQ4" s="1097" t="s">
        <v>1348</v>
      </c>
      <c r="AS4" s="1084" t="s">
        <v>1388</v>
      </c>
      <c r="AU4" s="1129" t="s">
        <v>1389</v>
      </c>
      <c r="AW4" s="1129" t="s">
        <v>1390</v>
      </c>
      <c r="AX4" s="1129" t="s">
        <v>1390</v>
      </c>
      <c r="AZ4" s="1129" t="s">
        <v>1391</v>
      </c>
      <c r="BB4" s="1129" t="s">
        <v>1392</v>
      </c>
      <c r="BC4" s="1129" t="s">
        <v>1393</v>
      </c>
      <c r="BE4" s="1129">
        <v>2002</v>
      </c>
      <c r="BF4" s="1129" t="s">
        <v>1394</v>
      </c>
      <c r="BH4" s="1077" t="s">
        <v>1395</v>
      </c>
      <c r="BJ4" s="1077" t="s">
        <v>1395</v>
      </c>
      <c r="BL4" s="1077" t="s">
        <v>1395</v>
      </c>
      <c r="BN4" s="1077" t="s">
        <v>1395</v>
      </c>
      <c r="BQ4" s="1441" t="s">
        <v>1396</v>
      </c>
      <c r="BR4" s="1168" t="s">
        <v>1397</v>
      </c>
      <c r="BS4" s="283"/>
      <c r="BT4" s="1441" t="s">
        <v>1398</v>
      </c>
      <c r="BU4" s="1168" t="s">
        <v>1399</v>
      </c>
      <c r="BV4" s="1079"/>
      <c r="BW4" s="1706" t="s">
        <v>1400</v>
      </c>
      <c r="BX4" s="1700" t="s">
        <v>1401</v>
      </c>
      <c r="BZ4" s="1441" t="s">
        <v>1402</v>
      </c>
      <c r="CA4" s="1168" t="s">
        <v>1403</v>
      </c>
    </row>
    <row customHeight="1" ht="11.25">
      <c r="A5" s="1083" t="s">
        <v>1404</v>
      </c>
      <c r="B5" s="1084">
        <v>2003</v>
      </c>
      <c r="C5" s="1084">
        <v>2025</v>
      </c>
      <c r="E5" s="1085" t="s">
        <v>1405</v>
      </c>
      <c r="F5" s="1085" t="s">
        <v>1406</v>
      </c>
      <c r="H5" s="1086" t="s">
        <v>1407</v>
      </c>
      <c r="I5" s="1085" t="s">
        <v>91</v>
      </c>
      <c r="K5" s="1087" t="s">
        <v>1408</v>
      </c>
      <c r="L5" s="1088">
        <f>_xlfn.IFERROR(MATCH(K5,OFFER_METHOD,0),0)</f>
        <v>0</v>
      </c>
      <c r="M5" s="1087">
        <v>4</v>
      </c>
      <c r="N5" s="1101" t="s">
        <v>1409</v>
      </c>
      <c r="O5" s="1085" t="s">
        <v>1410</v>
      </c>
      <c r="Q5" s="1090" t="s">
        <v>1411</v>
      </c>
      <c r="R5" s="152" t="s">
        <v>1412</v>
      </c>
      <c r="T5" s="1086" t="s">
        <v>1413</v>
      </c>
      <c r="U5" s="1088" t="s">
        <v>1414</v>
      </c>
      <c r="V5" s="1092">
        <v>4</v>
      </c>
      <c r="W5" s="1093"/>
      <c r="X5" s="1093" t="s">
        <v>241</v>
      </c>
      <c r="Y5" s="1084" t="s">
        <v>1415</v>
      </c>
      <c r="Z5" s="1100">
        <v>1</v>
      </c>
      <c r="AF5" s="1086" t="s">
        <v>1416</v>
      </c>
      <c r="AH5" s="1085" t="s">
        <v>1417</v>
      </c>
      <c r="AK5" s="1085" t="s">
        <v>1418</v>
      </c>
      <c r="AM5" s="1085" t="s">
        <v>1419</v>
      </c>
      <c r="AP5" s="1096" t="s">
        <v>241</v>
      </c>
      <c r="AQ5" s="1097" t="s">
        <v>241</v>
      </c>
      <c r="AU5" s="1129" t="s">
        <v>1420</v>
      </c>
      <c r="AW5" s="1129" t="s">
        <v>1421</v>
      </c>
      <c r="AX5" s="1129" t="s">
        <v>1421</v>
      </c>
      <c r="AZ5" s="1129" t="s">
        <v>1422</v>
      </c>
      <c r="BB5" s="1129" t="s">
        <v>1423</v>
      </c>
      <c r="BC5" s="1129" t="s">
        <v>1424</v>
      </c>
      <c r="BE5" s="1129">
        <v>2003</v>
      </c>
      <c r="BF5" s="1129" t="s">
        <v>1425</v>
      </c>
      <c r="BH5" s="1077" t="s">
        <v>1426</v>
      </c>
      <c r="BJ5" s="1077" t="s">
        <v>1426</v>
      </c>
      <c r="BL5" s="1077" t="s">
        <v>1426</v>
      </c>
      <c r="BN5" s="1077" t="s">
        <v>1427</v>
      </c>
      <c r="BQ5" s="1290">
        <v>4213775</v>
      </c>
      <c r="BR5" s="1077" t="s">
        <v>1322</v>
      </c>
      <c r="BS5" s="1438"/>
      <c r="BT5" s="1290">
        <v>64236871</v>
      </c>
      <c r="BU5" s="1077" t="s">
        <v>302</v>
      </c>
      <c r="BV5" s="1079"/>
      <c r="BW5" s="1704">
        <v>4213767</v>
      </c>
      <c r="BX5" s="1702" t="s">
        <v>1428</v>
      </c>
      <c r="BZ5" s="1290">
        <v>64237509</v>
      </c>
      <c r="CA5" s="1304" t="s">
        <v>1429</v>
      </c>
    </row>
    <row customHeight="1" ht="11.25">
      <c r="A6" s="1083" t="s">
        <v>1430</v>
      </c>
      <c r="B6" s="1084">
        <v>2004</v>
      </c>
      <c r="C6" s="1084">
        <v>2026</v>
      </c>
      <c r="E6" s="1085" t="s">
        <v>1431</v>
      </c>
      <c r="F6" s="1102"/>
      <c r="H6" s="1086" t="s">
        <v>1432</v>
      </c>
      <c r="I6" s="1085" t="s">
        <v>111</v>
      </c>
      <c r="J6" s="1076" t="s">
        <v>1433</v>
      </c>
      <c r="L6" s="1088">
        <f>SUM(kind_of_control_method_filter)</f>
        <v>0</v>
      </c>
      <c r="N6" s="1101" t="s">
        <v>1434</v>
      </c>
      <c r="O6" s="1085" t="s">
        <v>1435</v>
      </c>
      <c r="R6" s="152" t="s">
        <v>1317</v>
      </c>
      <c r="T6" s="1086" t="s">
        <v>1436</v>
      </c>
      <c r="U6" s="1088" t="s">
        <v>1416</v>
      </c>
      <c r="V6" s="1092">
        <v>5</v>
      </c>
      <c r="W6" s="1093"/>
      <c r="X6" s="1084" t="s">
        <v>247</v>
      </c>
      <c r="Y6" s="1084" t="s">
        <v>1437</v>
      </c>
      <c r="Z6" s="1100"/>
      <c r="AA6" s="1103"/>
      <c r="AH6" s="1085" t="s">
        <v>1438</v>
      </c>
      <c r="AK6" s="1085" t="s">
        <v>1439</v>
      </c>
      <c r="AM6" s="1085" t="s">
        <v>1440</v>
      </c>
      <c r="AP6" s="1096" t="s">
        <v>247</v>
      </c>
      <c r="AQ6" s="1097" t="s">
        <v>247</v>
      </c>
      <c r="AU6" s="1129" t="s">
        <v>1441</v>
      </c>
      <c r="AW6" s="1129" t="s">
        <v>1442</v>
      </c>
      <c r="AX6" s="1129" t="s">
        <v>1442</v>
      </c>
      <c r="BB6" s="1129" t="s">
        <v>1443</v>
      </c>
      <c r="BC6" s="1129" t="s">
        <v>1424</v>
      </c>
      <c r="BE6" s="1129">
        <v>2004</v>
      </c>
      <c r="BF6" s="1129" t="s">
        <v>1444</v>
      </c>
      <c r="BH6" s="1077" t="s">
        <v>1445</v>
      </c>
      <c r="BJ6" s="1077" t="s">
        <v>1446</v>
      </c>
      <c r="BL6" s="1077" t="s">
        <v>1446</v>
      </c>
      <c r="BN6" s="1077" t="s">
        <v>1447</v>
      </c>
      <c r="BQ6" s="1290">
        <v>4213784</v>
      </c>
      <c r="BR6" s="1304" t="s">
        <v>1355</v>
      </c>
      <c r="BS6" s="1439"/>
      <c r="BT6" s="1290">
        <v>64236872</v>
      </c>
      <c r="BU6" s="1077" t="s">
        <v>307</v>
      </c>
      <c r="BV6" s="1079"/>
      <c r="BW6" s="1704">
        <v>4213768</v>
      </c>
      <c r="BX6" s="1702" t="s">
        <v>327</v>
      </c>
      <c r="BZ6" s="1290">
        <v>64237510</v>
      </c>
      <c r="CA6" s="1077" t="s">
        <v>1448</v>
      </c>
    </row>
    <row customHeight="1" ht="11.25">
      <c r="A7" s="1083" t="s">
        <v>1449</v>
      </c>
      <c r="B7" s="1084">
        <v>2005</v>
      </c>
      <c r="E7" s="1085" t="s">
        <v>1450</v>
      </c>
      <c r="F7" s="1102"/>
      <c r="H7" s="1086" t="s">
        <v>1451</v>
      </c>
      <c r="I7" s="1085" t="s">
        <v>92</v>
      </c>
      <c r="J7" s="1085" t="s">
        <v>1452</v>
      </c>
      <c r="N7" s="1105" t="s">
        <v>1453</v>
      </c>
      <c r="O7" s="1085" t="s">
        <v>1454</v>
      </c>
      <c r="U7" s="1088" t="s">
        <v>19</v>
      </c>
      <c r="V7" s="379" t="s">
        <v>92</v>
      </c>
      <c r="W7" s="1093"/>
      <c r="X7" s="1084" t="s">
        <v>253</v>
      </c>
      <c r="Y7" s="1084" t="s">
        <v>1415</v>
      </c>
      <c r="Z7" s="1100"/>
      <c r="AA7" s="1103"/>
      <c r="AH7" s="1085" t="s">
        <v>1455</v>
      </c>
      <c r="AK7" s="1085" t="s">
        <v>1456</v>
      </c>
      <c r="AM7" s="1085" t="s">
        <v>1457</v>
      </c>
      <c r="AP7" s="1096" t="s">
        <v>253</v>
      </c>
      <c r="AQ7" s="1097" t="s">
        <v>253</v>
      </c>
      <c r="AU7" s="1129" t="s">
        <v>1458</v>
      </c>
      <c r="AW7" s="1129" t="s">
        <v>1459</v>
      </c>
      <c r="AX7" s="1129" t="s">
        <v>1459</v>
      </c>
      <c r="AZ7" s="1076" t="s">
        <v>1460</v>
      </c>
      <c r="BB7" s="1129" t="s">
        <v>1461</v>
      </c>
      <c r="BC7" s="1129" t="s">
        <v>1424</v>
      </c>
      <c r="BE7" s="1129">
        <v>2005</v>
      </c>
      <c r="BF7" s="1129" t="s">
        <v>1462</v>
      </c>
      <c r="BH7" s="1077" t="s">
        <v>1463</v>
      </c>
      <c r="BJ7" s="1077" t="s">
        <v>1445</v>
      </c>
      <c r="BL7" s="1077" t="s">
        <v>1445</v>
      </c>
      <c r="BN7" s="1077" t="s">
        <v>1464</v>
      </c>
      <c r="BQ7" s="1290">
        <v>4213781</v>
      </c>
      <c r="BR7" s="1077" t="s">
        <v>1348</v>
      </c>
      <c r="BS7" s="1438"/>
      <c r="BT7" s="1290">
        <v>64236873</v>
      </c>
      <c r="BU7" s="1077" t="s">
        <v>312</v>
      </c>
      <c r="BV7" s="1079"/>
      <c r="BW7" s="1704">
        <v>4213769</v>
      </c>
      <c r="BX7" s="1702" t="s">
        <v>1465</v>
      </c>
      <c r="BZ7" s="1290">
        <v>64237511</v>
      </c>
      <c r="CA7" s="1077" t="s">
        <v>342</v>
      </c>
    </row>
    <row customHeight="1" ht="11.25">
      <c r="A8" s="1083" t="s">
        <v>1466</v>
      </c>
      <c r="B8" s="1084">
        <v>2006</v>
      </c>
      <c r="E8" s="1085" t="s">
        <v>1467</v>
      </c>
      <c r="F8" s="1102"/>
      <c r="H8" s="1086" t="s">
        <v>1468</v>
      </c>
      <c r="I8" s="1085" t="s">
        <v>93</v>
      </c>
      <c r="J8" s="1085" t="s">
        <v>1469</v>
      </c>
      <c r="N8" s="1172" t="s">
        <v>1470</v>
      </c>
      <c r="O8" s="1085" t="s">
        <v>1471</v>
      </c>
      <c r="V8" s="379" t="s">
        <v>93</v>
      </c>
      <c r="W8" s="1093"/>
      <c r="X8" s="1084" t="s">
        <v>259</v>
      </c>
      <c r="Y8" s="1084" t="s">
        <v>1415</v>
      </c>
      <c r="Z8" s="1100"/>
      <c r="AA8" s="1103"/>
      <c r="AK8" s="1085" t="s">
        <v>1472</v>
      </c>
      <c r="AP8" s="1096" t="s">
        <v>259</v>
      </c>
      <c r="AQ8" s="1097" t="s">
        <v>259</v>
      </c>
      <c r="AU8" s="1129" t="s">
        <v>1473</v>
      </c>
      <c r="AW8" s="1129" t="s">
        <v>1474</v>
      </c>
      <c r="AX8" s="1129" t="s">
        <v>1474</v>
      </c>
      <c r="AZ8" s="1129" t="s">
        <v>1475</v>
      </c>
      <c r="BB8" s="1129" t="s">
        <v>1476</v>
      </c>
      <c r="BC8" s="1129" t="s">
        <v>1424</v>
      </c>
      <c r="BE8" s="1129">
        <v>2006</v>
      </c>
      <c r="BF8" s="1129" t="s">
        <v>1477</v>
      </c>
      <c r="BH8" s="1077" t="s">
        <v>1478</v>
      </c>
      <c r="BJ8" s="1077" t="s">
        <v>1479</v>
      </c>
      <c r="BL8" s="1077" t="s">
        <v>1479</v>
      </c>
      <c r="BN8" s="1077" t="s">
        <v>1480</v>
      </c>
      <c r="BQ8" s="1290">
        <v>4213776</v>
      </c>
      <c r="BR8" s="1077" t="s">
        <v>241</v>
      </c>
      <c r="BS8" s="1438"/>
      <c r="BT8" s="1290">
        <v>64236874</v>
      </c>
      <c r="BU8" s="1304" t="s">
        <v>1481</v>
      </c>
      <c r="BV8" s="1079"/>
      <c r="BW8" s="1704">
        <v>4213770</v>
      </c>
      <c r="BX8" s="1705" t="s">
        <v>1482</v>
      </c>
      <c r="BZ8" s="1290">
        <v>64237512</v>
      </c>
      <c r="CA8" s="1077" t="s">
        <v>337</v>
      </c>
    </row>
    <row customHeight="1" ht="11.25">
      <c r="A9" s="1083" t="s">
        <v>1483</v>
      </c>
      <c r="B9" s="1084">
        <v>2007</v>
      </c>
      <c r="E9" s="1085" t="s">
        <v>1484</v>
      </c>
      <c r="F9" s="1102"/>
      <c r="G9" s="1076" t="s">
        <v>1485</v>
      </c>
      <c r="H9" s="1076" t="s">
        <v>1486</v>
      </c>
      <c r="I9" s="1085" t="s">
        <v>112</v>
      </c>
      <c r="O9" s="1085" t="s">
        <v>1487</v>
      </c>
      <c r="V9" s="379" t="s">
        <v>112</v>
      </c>
      <c r="W9" s="1093"/>
      <c r="X9" s="1084" t="s">
        <v>265</v>
      </c>
      <c r="Y9" s="1084" t="s">
        <v>1323</v>
      </c>
      <c r="Z9" s="1100">
        <v>1</v>
      </c>
      <c r="AA9" s="1103"/>
      <c r="AK9" s="1085" t="s">
        <v>1488</v>
      </c>
      <c r="AP9" s="1096" t="s">
        <v>1489</v>
      </c>
      <c r="AQ9" s="1097" t="s">
        <v>1489</v>
      </c>
      <c r="AW9" s="1129" t="s">
        <v>1490</v>
      </c>
      <c r="AX9" s="1129" t="s">
        <v>1490</v>
      </c>
      <c r="AZ9" s="1129" t="s">
        <v>1491</v>
      </c>
      <c r="BB9" s="1129" t="s">
        <v>1492</v>
      </c>
      <c r="BC9" s="1129" t="s">
        <v>1424</v>
      </c>
      <c r="BE9" s="1129">
        <v>2007</v>
      </c>
      <c r="BF9" s="1129" t="s">
        <v>1493</v>
      </c>
      <c r="BH9" s="1077" t="s">
        <v>1494</v>
      </c>
      <c r="BJ9" s="1077" t="s">
        <v>1495</v>
      </c>
      <c r="BL9" s="1077" t="s">
        <v>1495</v>
      </c>
      <c r="BN9" s="1077" t="s">
        <v>1496</v>
      </c>
      <c r="BQ9" s="1290">
        <v>4213777</v>
      </c>
      <c r="BR9" s="1077" t="s">
        <v>247</v>
      </c>
      <c r="BS9" s="1438"/>
      <c r="BT9" s="1290">
        <v>64236875</v>
      </c>
      <c r="BU9" s="1077" t="s">
        <v>317</v>
      </c>
      <c r="BV9" s="1079"/>
      <c r="BW9" s="1699"/>
      <c r="BX9" s="1699"/>
    </row>
    <row customHeight="1" ht="11.25">
      <c r="A10" s="1083" t="s">
        <v>1497</v>
      </c>
      <c r="B10" s="1084">
        <v>2008</v>
      </c>
      <c r="E10" s="1085" t="s">
        <v>1498</v>
      </c>
      <c r="F10" s="1102"/>
      <c r="G10" s="1085" t="s">
        <v>1499</v>
      </c>
      <c r="H10" s="1085" t="s">
        <v>1500</v>
      </c>
      <c r="I10" s="1085" t="s">
        <v>136</v>
      </c>
      <c r="J10" s="1076" t="s">
        <v>1501</v>
      </c>
      <c r="K10" s="1076" t="s">
        <v>1502</v>
      </c>
      <c r="O10" s="1085" t="s">
        <v>1503</v>
      </c>
      <c r="V10" s="380" t="s">
        <v>136</v>
      </c>
      <c r="W10" s="1106"/>
      <c r="X10" s="1106" t="s">
        <v>1504</v>
      </c>
      <c r="Y10" s="1107" t="s">
        <v>1505</v>
      </c>
      <c r="Z10" s="1100"/>
      <c r="AP10" s="1096" t="s">
        <v>1504</v>
      </c>
      <c r="AQ10" s="1097" t="s">
        <v>1504</v>
      </c>
      <c r="AW10" s="1129" t="s">
        <v>1506</v>
      </c>
      <c r="AX10" s="1129" t="s">
        <v>1506</v>
      </c>
      <c r="AZ10" s="1129" t="s">
        <v>1507</v>
      </c>
      <c r="BB10" s="1129" t="s">
        <v>1508</v>
      </c>
      <c r="BC10" s="1129" t="s">
        <v>1424</v>
      </c>
      <c r="BE10" s="1129">
        <v>2008</v>
      </c>
      <c r="BF10" s="1129" t="s">
        <v>1509</v>
      </c>
      <c r="BH10" s="1077" t="s">
        <v>1510</v>
      </c>
      <c r="BJ10" s="1077" t="s">
        <v>1511</v>
      </c>
      <c r="BL10" s="1077" t="s">
        <v>1511</v>
      </c>
      <c r="BN10" s="1077" t="s">
        <v>1512</v>
      </c>
      <c r="BQ10" s="1290">
        <v>4213778</v>
      </c>
      <c r="BR10" s="1077" t="s">
        <v>253</v>
      </c>
      <c r="BS10" s="1438"/>
      <c r="BT10" s="1290">
        <v>64236876</v>
      </c>
      <c r="BU10" s="1077" t="s">
        <v>297</v>
      </c>
      <c r="BV10" s="1079"/>
      <c r="BW10" s="1699"/>
      <c r="BX10" s="1699"/>
    </row>
    <row customHeight="1" ht="11.25">
      <c r="A11" s="1083" t="s">
        <v>1513</v>
      </c>
      <c r="B11" s="1084">
        <v>2009</v>
      </c>
      <c r="E11" s="1085" t="s">
        <v>1514</v>
      </c>
      <c r="F11" s="1102"/>
      <c r="G11" s="1085" t="s">
        <v>1515</v>
      </c>
      <c r="H11" s="1085" t="s">
        <v>1516</v>
      </c>
      <c r="I11" s="1085" t="s">
        <v>139</v>
      </c>
      <c r="J11" s="1086" t="s">
        <v>1517</v>
      </c>
      <c r="K11" s="1108" t="s">
        <v>1518</v>
      </c>
      <c r="O11" s="1086" t="s">
        <v>1519</v>
      </c>
      <c r="V11" s="379" t="s">
        <v>139</v>
      </c>
      <c r="W11" s="284"/>
      <c r="X11" s="1093" t="s">
        <v>1489</v>
      </c>
      <c r="Y11" s="1084" t="s">
        <v>1520</v>
      </c>
      <c r="Z11" s="1100"/>
      <c r="AP11" s="1096" t="s">
        <v>265</v>
      </c>
      <c r="AQ11" s="1098" t="s">
        <v>265</v>
      </c>
      <c r="AW11" s="1129" t="s">
        <v>1521</v>
      </c>
      <c r="AX11" s="1129" t="s">
        <v>1521</v>
      </c>
      <c r="AZ11" s="1129" t="s">
        <v>1522</v>
      </c>
      <c r="BB11" s="1129" t="s">
        <v>1523</v>
      </c>
      <c r="BC11" s="1129" t="s">
        <v>1424</v>
      </c>
      <c r="BE11" s="1129">
        <v>2009</v>
      </c>
      <c r="BF11" s="1129" t="s">
        <v>1524</v>
      </c>
      <c r="BH11" s="1077" t="s">
        <v>1525</v>
      </c>
      <c r="BJ11" s="1077" t="s">
        <v>1494</v>
      </c>
      <c r="BL11" s="1077" t="s">
        <v>1494</v>
      </c>
      <c r="BN11" s="1077" t="s">
        <v>1526</v>
      </c>
      <c r="BQ11" s="1290">
        <v>4213780</v>
      </c>
      <c r="BR11" s="1077" t="s">
        <v>259</v>
      </c>
      <c r="BS11" s="1438"/>
      <c r="BW11" s="1699"/>
      <c r="BX11" s="1699"/>
    </row>
    <row customHeight="1" ht="11.25">
      <c r="A12" s="1083" t="s">
        <v>1527</v>
      </c>
      <c r="B12" s="1084">
        <v>2010</v>
      </c>
      <c r="E12" s="1085" t="s">
        <v>1528</v>
      </c>
      <c r="F12" s="1102"/>
      <c r="G12" s="1085" t="s">
        <v>1516</v>
      </c>
      <c r="I12" s="1085" t="s">
        <v>142</v>
      </c>
      <c r="J12" s="1086" t="s">
        <v>1529</v>
      </c>
      <c r="K12" s="1108" t="s">
        <v>1530</v>
      </c>
      <c r="O12" s="1086" t="s">
        <v>1317</v>
      </c>
      <c r="V12" s="379" t="s">
        <v>142</v>
      </c>
      <c r="W12" s="1098"/>
      <c r="X12" s="1093" t="s">
        <v>1531</v>
      </c>
      <c r="Y12" s="1084" t="s">
        <v>1323</v>
      </c>
      <c r="AP12" s="1096"/>
      <c r="AW12" s="1129" t="s">
        <v>139</v>
      </c>
      <c r="AX12" s="1129" t="s">
        <v>139</v>
      </c>
      <c r="AZ12" s="1129" t="s">
        <v>1532</v>
      </c>
      <c r="BB12" s="1129" t="s">
        <v>1533</v>
      </c>
      <c r="BC12" s="1129" t="s">
        <v>1424</v>
      </c>
      <c r="BE12" s="1129">
        <v>2010</v>
      </c>
      <c r="BF12" s="1129" t="s">
        <v>1534</v>
      </c>
      <c r="BH12" s="1077" t="s">
        <v>1535</v>
      </c>
      <c r="BJ12" s="1077" t="s">
        <v>1536</v>
      </c>
      <c r="BL12" s="1077" t="s">
        <v>1536</v>
      </c>
      <c r="BN12" s="1077" t="s">
        <v>1537</v>
      </c>
      <c r="BQ12" s="1290">
        <v>4213779</v>
      </c>
      <c r="BR12" s="1077" t="s">
        <v>1489</v>
      </c>
      <c r="BS12" s="1438"/>
      <c r="BT12" s="1079"/>
      <c r="BU12" s="1079"/>
      <c r="BV12" s="1079"/>
      <c r="BW12" s="1699"/>
      <c r="BX12" s="1699"/>
    </row>
    <row customHeight="1" ht="11.25">
      <c r="A13" s="1083" t="s">
        <v>1538</v>
      </c>
      <c r="B13" s="1084">
        <v>2011</v>
      </c>
      <c r="E13" s="1085" t="s">
        <v>1539</v>
      </c>
      <c r="F13" s="1102"/>
      <c r="I13" s="1085" t="s">
        <v>145</v>
      </c>
      <c r="K13" s="1108" t="s">
        <v>1488</v>
      </c>
      <c r="V13" s="379" t="s">
        <v>145</v>
      </c>
      <c r="W13" s="1098"/>
      <c r="X13" s="1098"/>
      <c r="Y13" s="1098"/>
      <c r="AW13" s="1129" t="s">
        <v>142</v>
      </c>
      <c r="AX13" s="1129" t="s">
        <v>142</v>
      </c>
      <c r="BB13" s="1129" t="s">
        <v>1540</v>
      </c>
      <c r="BC13" s="1129" t="s">
        <v>1541</v>
      </c>
      <c r="BE13" s="1129">
        <v>2011</v>
      </c>
      <c r="BF13" s="1129" t="s">
        <v>1542</v>
      </c>
      <c r="BH13" s="1077" t="s">
        <v>1543</v>
      </c>
      <c r="BJ13" s="1077" t="s">
        <v>1525</v>
      </c>
      <c r="BL13" s="1077" t="s">
        <v>1525</v>
      </c>
      <c r="BN13" s="1077" t="s">
        <v>1544</v>
      </c>
      <c r="BQ13" s="1290">
        <v>4213783</v>
      </c>
      <c r="BR13" s="1077" t="s">
        <v>1504</v>
      </c>
      <c r="BS13" s="1438"/>
      <c r="BT13" s="1079"/>
      <c r="BU13" s="1079"/>
      <c r="BV13" s="1079"/>
      <c r="BW13" s="1703"/>
      <c r="BX13" s="1699"/>
    </row>
    <row customHeight="1" ht="11.25">
      <c r="A14" s="1083" t="s">
        <v>1545</v>
      </c>
      <c r="B14" s="1084">
        <v>2012</v>
      </c>
      <c r="I14" s="1085" t="s">
        <v>148</v>
      </c>
      <c r="J14" s="1076" t="s">
        <v>1546</v>
      </c>
      <c r="N14" s="1076" t="s">
        <v>1547</v>
      </c>
      <c r="V14" s="1092">
        <v>13</v>
      </c>
      <c r="W14" s="1093"/>
      <c r="X14" s="1093" t="s">
        <v>1355</v>
      </c>
      <c r="Y14" s="1084" t="s">
        <v>1323</v>
      </c>
      <c r="AW14" s="1129" t="s">
        <v>145</v>
      </c>
      <c r="AX14" s="1129" t="s">
        <v>145</v>
      </c>
      <c r="AZ14" s="1076" t="s">
        <v>1548</v>
      </c>
      <c r="BB14" s="1129" t="s">
        <v>1549</v>
      </c>
      <c r="BC14" s="1129" t="s">
        <v>1541</v>
      </c>
      <c r="BE14" s="1129">
        <v>2012</v>
      </c>
      <c r="BH14" s="1077" t="s">
        <v>1464</v>
      </c>
      <c r="BJ14" s="1226" t="s">
        <v>1550</v>
      </c>
      <c r="BL14" s="1226" t="s">
        <v>1550</v>
      </c>
      <c r="BN14" s="1077" t="s">
        <v>1551</v>
      </c>
      <c r="BQ14" s="1290">
        <v>4213782</v>
      </c>
      <c r="BR14" s="1077" t="s">
        <v>265</v>
      </c>
      <c r="BS14" s="1438"/>
      <c r="BT14" s="1079"/>
      <c r="BU14" s="1079"/>
      <c r="BV14" s="1079"/>
      <c r="BW14" s="1703"/>
      <c r="BX14" s="1699"/>
    </row>
    <row customHeight="1" ht="19.5">
      <c r="A15" s="1083" t="s">
        <v>1552</v>
      </c>
      <c r="B15" s="1084">
        <v>2013</v>
      </c>
      <c r="E15" s="1707" t="s">
        <v>1553</v>
      </c>
      <c r="G15" s="1076" t="s">
        <v>1554</v>
      </c>
      <c r="H15" s="1076" t="s">
        <v>1555</v>
      </c>
      <c r="I15" s="1087" t="s">
        <v>151</v>
      </c>
      <c r="J15" s="1098" t="s">
        <v>656</v>
      </c>
      <c r="N15" s="1167" t="s">
        <v>1556</v>
      </c>
      <c r="X15" s="1096"/>
      <c r="AW15" s="1129" t="s">
        <v>148</v>
      </c>
      <c r="AX15" s="1129" t="s">
        <v>148</v>
      </c>
      <c r="AZ15" s="1129" t="s">
        <v>1475</v>
      </c>
      <c r="BB15" s="1129" t="s">
        <v>1557</v>
      </c>
      <c r="BC15" s="1129" t="s">
        <v>1541</v>
      </c>
      <c r="BE15" s="1129">
        <v>2013</v>
      </c>
      <c r="BH15" s="1077" t="s">
        <v>1480</v>
      </c>
      <c r="BJ15" s="1226" t="s">
        <v>1558</v>
      </c>
      <c r="BL15" s="1226" t="s">
        <v>1558</v>
      </c>
      <c r="BN15" s="1077" t="s">
        <v>1559</v>
      </c>
      <c r="BR15" s="1079"/>
      <c r="BS15" s="1440"/>
      <c r="BT15" s="1079"/>
      <c r="BU15" s="1079"/>
      <c r="BV15" s="1079"/>
      <c r="BW15" s="1703"/>
      <c r="BX15" s="1699"/>
    </row>
    <row customHeight="1" ht="21">
      <c r="A16" s="1879" t="s">
        <v>1560</v>
      </c>
      <c r="B16" s="1084">
        <v>2014</v>
      </c>
      <c r="E16" s="1708" t="s">
        <v>1561</v>
      </c>
      <c r="G16" s="1085" t="s">
        <v>1562</v>
      </c>
      <c r="H16" s="1085" t="s">
        <v>1563</v>
      </c>
      <c r="I16" s="1087" t="s">
        <v>154</v>
      </c>
      <c r="J16" s="1098" t="s">
        <v>629</v>
      </c>
      <c r="N16" s="1167" t="s">
        <v>1564</v>
      </c>
      <c r="AW16" s="1129" t="s">
        <v>151</v>
      </c>
      <c r="AX16" s="1129" t="s">
        <v>151</v>
      </c>
      <c r="AZ16" s="1129" t="s">
        <v>1491</v>
      </c>
      <c r="BB16" s="1129" t="s">
        <v>1565</v>
      </c>
      <c r="BC16" s="1129" t="s">
        <v>1541</v>
      </c>
      <c r="BE16" s="1129">
        <v>2014</v>
      </c>
      <c r="BH16" s="1077" t="s">
        <v>1496</v>
      </c>
      <c r="BJ16" s="1226" t="s">
        <v>1566</v>
      </c>
      <c r="BL16" s="1226" t="s">
        <v>1566</v>
      </c>
      <c r="BN16" s="1077" t="s">
        <v>1567</v>
      </c>
      <c r="BR16" s="1079"/>
      <c r="BS16" s="1440"/>
      <c r="BT16" s="1079"/>
      <c r="BU16" s="1079"/>
      <c r="BV16" s="1079"/>
      <c r="BW16" s="1703"/>
      <c r="BX16" s="1699"/>
    </row>
    <row customHeight="1" ht="21">
      <c r="A17" s="1083" t="s">
        <v>1568</v>
      </c>
      <c r="B17" s="1084">
        <v>2015</v>
      </c>
      <c r="G17" s="1085" t="s">
        <v>1516</v>
      </c>
      <c r="H17" s="1085" t="s">
        <v>1516</v>
      </c>
      <c r="I17" s="1085" t="s">
        <v>157</v>
      </c>
      <c r="N17" s="1167" t="s">
        <v>1569</v>
      </c>
      <c r="X17" s="1096"/>
      <c r="AW17" s="1129" t="s">
        <v>154</v>
      </c>
      <c r="AX17" s="1129" t="s">
        <v>154</v>
      </c>
      <c r="AZ17" s="1129" t="s">
        <v>1570</v>
      </c>
      <c r="BB17" s="1129" t="s">
        <v>1571</v>
      </c>
      <c r="BC17" s="1129" t="s">
        <v>1424</v>
      </c>
      <c r="BE17" s="1129">
        <v>2015</v>
      </c>
      <c r="BH17" s="1077" t="s">
        <v>1512</v>
      </c>
      <c r="BJ17" s="1226" t="s">
        <v>1572</v>
      </c>
      <c r="BL17" s="1226" t="s">
        <v>1572</v>
      </c>
      <c r="BN17" s="1077" t="s">
        <v>1573</v>
      </c>
      <c r="BR17" s="1076" t="s">
        <v>1366</v>
      </c>
      <c r="BS17" s="1437"/>
      <c r="BU17" s="1076" t="s">
        <v>1574</v>
      </c>
      <c r="BV17" s="1079"/>
      <c r="BW17" s="1699"/>
      <c r="BX17" s="1701" t="s">
        <v>1575</v>
      </c>
      <c r="CA17" s="1076" t="s">
        <v>1576</v>
      </c>
      <c r="CD17" s="1076" t="s">
        <v>1577</v>
      </c>
    </row>
    <row customHeight="1" ht="21">
      <c r="A18" s="1083" t="s">
        <v>1578</v>
      </c>
      <c r="B18" s="1084">
        <v>2016</v>
      </c>
      <c r="E18" s="2014" t="s">
        <v>1579</v>
      </c>
      <c r="I18" s="1085" t="s">
        <v>160</v>
      </c>
      <c r="N18" s="1167" t="s">
        <v>1580</v>
      </c>
      <c r="X18" s="1096"/>
      <c r="AW18" s="1129" t="s">
        <v>157</v>
      </c>
      <c r="AX18" s="1129" t="s">
        <v>157</v>
      </c>
      <c r="BB18" s="1129" t="s">
        <v>1581</v>
      </c>
      <c r="BC18" s="1129" t="s">
        <v>1424</v>
      </c>
      <c r="BE18" s="1129">
        <v>2016</v>
      </c>
      <c r="BH18" s="1077" t="s">
        <v>1526</v>
      </c>
      <c r="BJ18" s="1226" t="s">
        <v>1582</v>
      </c>
      <c r="BL18" s="1226" t="s">
        <v>1582</v>
      </c>
      <c r="BN18" s="1077" t="s">
        <v>1583</v>
      </c>
      <c r="BQ18" s="1441" t="s">
        <v>1396</v>
      </c>
      <c r="BR18" s="1168" t="s">
        <v>1397</v>
      </c>
      <c r="BS18" s="283"/>
      <c r="BT18" s="1441" t="s">
        <v>1584</v>
      </c>
      <c r="BU18" s="1168" t="s">
        <v>1585</v>
      </c>
      <c r="BV18" s="1079"/>
      <c r="BW18" s="1706" t="s">
        <v>1586</v>
      </c>
      <c r="BX18" s="1700" t="s">
        <v>1587</v>
      </c>
      <c r="BZ18" s="1441" t="s">
        <v>1588</v>
      </c>
      <c r="CA18" s="1168" t="s">
        <v>1589</v>
      </c>
      <c r="CC18" s="1441" t="s">
        <v>1590</v>
      </c>
      <c r="CD18" s="1168" t="s">
        <v>1591</v>
      </c>
    </row>
    <row customHeight="1" ht="21">
      <c r="A19" s="1879" t="s">
        <v>1592</v>
      </c>
      <c r="B19" s="1084">
        <v>2017</v>
      </c>
      <c r="E19" s="1083" t="s">
        <v>240</v>
      </c>
      <c r="I19" s="1085" t="s">
        <v>163</v>
      </c>
      <c r="N19" s="1167" t="s">
        <v>1593</v>
      </c>
      <c r="X19" s="1096"/>
      <c r="AW19" s="1129" t="s">
        <v>160</v>
      </c>
      <c r="AX19" s="1129" t="s">
        <v>160</v>
      </c>
      <c r="AZ19" s="1076" t="s">
        <v>1594</v>
      </c>
      <c r="BB19" s="1129" t="s">
        <v>1595</v>
      </c>
      <c r="BC19" s="1129" t="s">
        <v>1424</v>
      </c>
      <c r="BE19" s="1129">
        <v>2017</v>
      </c>
      <c r="BH19" s="1077" t="s">
        <v>1596</v>
      </c>
      <c r="BJ19" s="1226" t="s">
        <v>1597</v>
      </c>
      <c r="BL19" s="1226" t="s">
        <v>1597</v>
      </c>
      <c r="BQ19" s="1290">
        <v>4190064</v>
      </c>
      <c r="BR19" s="1077" t="s">
        <v>1598</v>
      </c>
      <c r="BS19" s="1438"/>
      <c r="BT19" s="1290">
        <v>4189671</v>
      </c>
      <c r="BU19" s="1077" t="s">
        <v>1599</v>
      </c>
      <c r="BV19" s="1079"/>
      <c r="BW19" s="1704">
        <v>4189706</v>
      </c>
      <c r="BX19" s="1702" t="s">
        <v>1600</v>
      </c>
      <c r="BZ19" s="1290">
        <v>4189714</v>
      </c>
      <c r="CA19" s="1077" t="s">
        <v>1601</v>
      </c>
      <c r="CC19" s="1290">
        <v>4189708</v>
      </c>
      <c r="CD19" s="1077" t="s">
        <v>1602</v>
      </c>
    </row>
    <row customHeight="1" ht="21">
      <c r="A20" s="1083" t="s">
        <v>1603</v>
      </c>
      <c r="B20" s="1084">
        <v>2018</v>
      </c>
      <c r="E20" s="1083" t="s">
        <v>1355</v>
      </c>
      <c r="I20" s="1085" t="s">
        <v>166</v>
      </c>
      <c r="N20" s="1167" t="s">
        <v>1604</v>
      </c>
      <c r="AW20" s="1129" t="s">
        <v>163</v>
      </c>
      <c r="AX20" s="1129" t="s">
        <v>163</v>
      </c>
      <c r="AZ20" s="1129" t="s">
        <v>1605</v>
      </c>
      <c r="BB20" s="1129" t="s">
        <v>1606</v>
      </c>
      <c r="BC20" s="1129" t="s">
        <v>1541</v>
      </c>
      <c r="BE20" s="1129">
        <v>2018</v>
      </c>
      <c r="BH20" s="1077" t="s">
        <v>1537</v>
      </c>
      <c r="BJ20" s="1077" t="s">
        <v>1464</v>
      </c>
      <c r="BL20" s="1077" t="s">
        <v>1464</v>
      </c>
      <c r="BQ20" s="1290">
        <v>4190065</v>
      </c>
      <c r="BR20" s="1077" t="s">
        <v>1607</v>
      </c>
      <c r="BS20" s="1438"/>
      <c r="BT20" s="1290">
        <v>4189672</v>
      </c>
      <c r="BU20" s="1077" t="s">
        <v>1608</v>
      </c>
      <c r="BV20" s="1079"/>
      <c r="BW20" s="1704">
        <v>4189705</v>
      </c>
      <c r="BX20" s="1702" t="s">
        <v>1609</v>
      </c>
      <c r="BZ20" s="1290">
        <v>4189713</v>
      </c>
      <c r="CA20" s="1077" t="s">
        <v>1609</v>
      </c>
      <c r="CC20" s="1290">
        <v>4189709</v>
      </c>
      <c r="CD20" s="1077" t="s">
        <v>1610</v>
      </c>
    </row>
    <row customHeight="1" ht="21">
      <c r="A21" s="1083" t="s">
        <v>1611</v>
      </c>
      <c r="B21" s="1084">
        <v>2019</v>
      </c>
      <c r="I21" s="1085" t="s">
        <v>169</v>
      </c>
      <c r="N21" s="1167" t="s">
        <v>1612</v>
      </c>
      <c r="AW21" s="1129" t="s">
        <v>166</v>
      </c>
      <c r="AX21" s="1129" t="s">
        <v>166</v>
      </c>
      <c r="AZ21" s="1129" t="s">
        <v>1613</v>
      </c>
      <c r="BB21" s="1129" t="s">
        <v>1614</v>
      </c>
      <c r="BC21" s="1129" t="s">
        <v>1424</v>
      </c>
      <c r="BE21" s="1129">
        <v>2019</v>
      </c>
      <c r="BH21" s="1077" t="s">
        <v>1544</v>
      </c>
      <c r="BJ21" s="1077" t="s">
        <v>1480</v>
      </c>
      <c r="BL21" s="1077" t="s">
        <v>1480</v>
      </c>
      <c r="BQ21" s="1290">
        <v>4190066</v>
      </c>
      <c r="BR21" s="1077" t="s">
        <v>1615</v>
      </c>
      <c r="BS21" s="1438"/>
      <c r="BT21" s="1290">
        <v>4189673</v>
      </c>
      <c r="BU21" s="1077" t="s">
        <v>1616</v>
      </c>
      <c r="BV21" s="1079"/>
      <c r="BW21" s="1704">
        <v>4189707</v>
      </c>
      <c r="BX21" s="1702" t="s">
        <v>1617</v>
      </c>
      <c r="BZ21" s="1290">
        <v>4189712</v>
      </c>
      <c r="CA21" s="1077" t="s">
        <v>1618</v>
      </c>
      <c r="CC21" s="1290">
        <v>4189710</v>
      </c>
      <c r="CD21" s="1077" t="s">
        <v>1619</v>
      </c>
    </row>
    <row customHeight="1" ht="21">
      <c r="A22" s="1083" t="s">
        <v>1620</v>
      </c>
      <c r="B22" s="1084">
        <v>2020</v>
      </c>
      <c r="N22" s="1167" t="s">
        <v>1621</v>
      </c>
      <c r="AW22" s="1129" t="s">
        <v>169</v>
      </c>
      <c r="AX22" s="1129" t="s">
        <v>169</v>
      </c>
      <c r="AZ22" s="1129" t="s">
        <v>1622</v>
      </c>
      <c r="BB22" s="1129" t="s">
        <v>1623</v>
      </c>
      <c r="BC22" s="1129" t="s">
        <v>1424</v>
      </c>
      <c r="BE22" s="1129">
        <v>2020</v>
      </c>
      <c r="BH22" s="1077" t="s">
        <v>1551</v>
      </c>
      <c r="BJ22" s="1077" t="s">
        <v>1496</v>
      </c>
      <c r="BL22" s="1077" t="s">
        <v>1496</v>
      </c>
      <c r="BQ22" s="1290">
        <v>4190067</v>
      </c>
      <c r="BR22" s="1077" t="s">
        <v>1624</v>
      </c>
      <c r="BS22" s="1438"/>
      <c r="BT22" s="1290">
        <v>4189674</v>
      </c>
      <c r="BU22" s="1077" t="s">
        <v>1625</v>
      </c>
      <c r="BV22" s="1079"/>
      <c r="BW22" s="1079"/>
      <c r="CC22" s="1290">
        <v>4189711</v>
      </c>
      <c r="CD22" s="1077" t="s">
        <v>366</v>
      </c>
    </row>
    <row customHeight="1" ht="21">
      <c r="A23" s="1083" t="s">
        <v>1626</v>
      </c>
      <c r="B23" s="1084">
        <v>2021</v>
      </c>
      <c r="AW23" s="1129" t="s">
        <v>172</v>
      </c>
      <c r="AX23" s="1129" t="s">
        <v>172</v>
      </c>
      <c r="AZ23" s="1129" t="s">
        <v>1627</v>
      </c>
      <c r="BB23" s="1129" t="s">
        <v>1628</v>
      </c>
      <c r="BC23" s="1129" t="s">
        <v>1333</v>
      </c>
      <c r="BE23" s="1129">
        <v>2021</v>
      </c>
      <c r="BH23" s="1077" t="s">
        <v>1559</v>
      </c>
      <c r="BJ23" s="1077" t="s">
        <v>1512</v>
      </c>
      <c r="BL23" s="1077" t="s">
        <v>1512</v>
      </c>
      <c r="BQ23" s="1290">
        <v>4190068</v>
      </c>
      <c r="BR23" s="1077" t="s">
        <v>1629</v>
      </c>
      <c r="BS23" s="1438"/>
      <c r="BT23" s="1290">
        <v>4189675</v>
      </c>
      <c r="BU23" s="1077" t="s">
        <v>1630</v>
      </c>
      <c r="BV23" s="1079"/>
      <c r="BW23" s="1079"/>
      <c r="CC23" s="1290">
        <v>5110778</v>
      </c>
      <c r="CD23" s="1077" t="s">
        <v>1631</v>
      </c>
    </row>
    <row customHeight="1" ht="21">
      <c r="A24" s="1083" t="s">
        <v>1632</v>
      </c>
      <c r="B24" s="1084">
        <v>2022</v>
      </c>
      <c r="AW24" s="1129" t="s">
        <v>175</v>
      </c>
      <c r="AX24" s="1129" t="s">
        <v>175</v>
      </c>
      <c r="AZ24" s="1129" t="s">
        <v>1633</v>
      </c>
      <c r="BB24" s="1129" t="s">
        <v>1634</v>
      </c>
      <c r="BC24" s="1129" t="s">
        <v>1635</v>
      </c>
      <c r="BE24" s="1129">
        <v>2022</v>
      </c>
      <c r="BH24" s="1077" t="s">
        <v>1567</v>
      </c>
      <c r="BJ24" s="1077" t="s">
        <v>1526</v>
      </c>
      <c r="BL24" s="1077" t="s">
        <v>1526</v>
      </c>
      <c r="BQ24" s="1290">
        <v>4190069</v>
      </c>
      <c r="BR24" s="1077" t="s">
        <v>1636</v>
      </c>
      <c r="BS24" s="1438"/>
      <c r="BT24" s="1290">
        <v>4189676</v>
      </c>
      <c r="BU24" s="1077" t="s">
        <v>1637</v>
      </c>
      <c r="BV24" s="1079"/>
      <c r="BW24" s="1079"/>
      <c r="CC24" s="1290">
        <v>25575374</v>
      </c>
      <c r="CD24" s="1077" t="s">
        <v>1638</v>
      </c>
    </row>
    <row customHeight="1" ht="11.25">
      <c r="A25" s="1083" t="s">
        <v>1639</v>
      </c>
      <c r="B25" s="1084">
        <v>2023</v>
      </c>
      <c r="AW25" s="1129" t="s">
        <v>178</v>
      </c>
      <c r="AX25" s="1129" t="s">
        <v>178</v>
      </c>
      <c r="AZ25" s="1129" t="s">
        <v>1640</v>
      </c>
      <c r="BB25" s="1129" t="s">
        <v>1641</v>
      </c>
      <c r="BC25" s="1129" t="s">
        <v>1635</v>
      </c>
      <c r="BE25" s="1129">
        <v>2023</v>
      </c>
      <c r="BH25" s="1077" t="s">
        <v>1573</v>
      </c>
      <c r="BJ25" s="1077" t="s">
        <v>1596</v>
      </c>
      <c r="BL25" s="1077" t="s">
        <v>1596</v>
      </c>
      <c r="BQ25" s="1290">
        <v>4190070</v>
      </c>
      <c r="BR25" s="1077" t="s">
        <v>1642</v>
      </c>
      <c r="BS25" s="1438"/>
      <c r="BT25" s="1290">
        <v>4189677</v>
      </c>
      <c r="BU25" s="1077" t="s">
        <v>1643</v>
      </c>
      <c r="BV25" s="1079"/>
      <c r="BW25" s="1079"/>
    </row>
    <row customHeight="1" ht="11.25">
      <c r="A26" s="1083" t="s">
        <v>1644</v>
      </c>
      <c r="B26" s="1084">
        <v>2024</v>
      </c>
      <c r="J26" s="1740" t="s">
        <v>1645</v>
      </c>
      <c r="AX26" s="1129" t="s">
        <v>181</v>
      </c>
      <c r="AZ26" s="1129" t="s">
        <v>1519</v>
      </c>
      <c r="BB26" s="1129" t="s">
        <v>1646</v>
      </c>
      <c r="BC26" s="1129" t="s">
        <v>1635</v>
      </c>
      <c r="BE26" s="1129">
        <v>2024</v>
      </c>
      <c r="BH26" s="1077" t="s">
        <v>1583</v>
      </c>
      <c r="BJ26" s="1077" t="s">
        <v>1537</v>
      </c>
      <c r="BL26" s="1077" t="s">
        <v>1537</v>
      </c>
      <c r="BQ26" s="1290">
        <v>4190071</v>
      </c>
      <c r="BR26" s="1077" t="s">
        <v>1647</v>
      </c>
      <c r="BS26" s="1438"/>
      <c r="BV26" s="1079"/>
      <c r="BW26" s="1079"/>
    </row>
    <row customHeight="1" ht="11.25">
      <c r="A27" s="1083" t="s">
        <v>1648</v>
      </c>
      <c r="B27" s="1084">
        <v>2025</v>
      </c>
      <c r="J27" s="185" t="s">
        <v>121</v>
      </c>
      <c r="AX27" s="1129" t="s">
        <v>184</v>
      </c>
      <c r="BB27" s="1129" t="s">
        <v>1649</v>
      </c>
      <c r="BC27" s="1129" t="s">
        <v>1635</v>
      </c>
      <c r="BE27" s="1129">
        <v>2025</v>
      </c>
      <c r="BH27" s="1079" t="s">
        <v>22</v>
      </c>
      <c r="BJ27" s="1077" t="s">
        <v>1544</v>
      </c>
      <c r="BL27" s="1077" t="s">
        <v>1544</v>
      </c>
      <c r="BN27" s="1079" t="s">
        <v>22</v>
      </c>
      <c r="BQ27" s="1290">
        <v>4190072</v>
      </c>
      <c r="BR27" s="1077" t="s">
        <v>1650</v>
      </c>
      <c r="BS27" s="1438"/>
      <c r="BV27" s="1079"/>
      <c r="BW27" s="1079"/>
    </row>
    <row customHeight="1" ht="11.25">
      <c r="A28" s="1083" t="s">
        <v>1651</v>
      </c>
      <c r="D28" s="1110"/>
      <c r="E28" s="1111"/>
      <c r="F28" s="1111"/>
      <c r="H28" s="1112" t="s">
        <v>1652</v>
      </c>
      <c r="AX28" s="1129" t="s">
        <v>187</v>
      </c>
      <c r="AZ28" s="1076" t="s">
        <v>1653</v>
      </c>
      <c r="BB28" s="1129" t="s">
        <v>1654</v>
      </c>
      <c r="BC28" s="1129" t="s">
        <v>1655</v>
      </c>
      <c r="BE28" s="1129">
        <v>2026</v>
      </c>
      <c r="BH28" s="1079" t="s">
        <v>22</v>
      </c>
      <c r="BJ28" s="1077" t="s">
        <v>1551</v>
      </c>
      <c r="BL28" s="1077" t="s">
        <v>1551</v>
      </c>
      <c r="BN28" s="1079" t="s">
        <v>22</v>
      </c>
      <c r="BQ28" s="1290">
        <v>4190073</v>
      </c>
      <c r="BR28" s="1077" t="s">
        <v>1656</v>
      </c>
      <c r="BS28" s="1438"/>
      <c r="BV28" s="1079"/>
      <c r="BW28" s="1079"/>
    </row>
    <row customHeight="1" ht="11.25">
      <c r="A29" s="1083" t="s">
        <v>1657</v>
      </c>
      <c r="D29" s="1113" t="s">
        <v>1658</v>
      </c>
      <c r="E29" s="1114" t="str">
        <f>IF(TEMPLATE_GROUP="","",INDEX(StartDateList,MATCH(TEMPLATE_GROUP,CodeTemplateList,0),1))</f>
        <v>01.04.2026</v>
      </c>
      <c r="F29" s="1114" t="str">
        <f>IF(TEMPLATE_GROUP="","",INDEX(EndDateList,MATCH(TEMPLATE_GROUP,CodeTemplateList,0),1))</f>
        <v>30.06.2026</v>
      </c>
      <c r="H29" s="1115" t="s">
        <v>1659</v>
      </c>
      <c r="AX29" s="1129" t="s">
        <v>190</v>
      </c>
      <c r="AZ29" s="1129" t="s">
        <v>1318</v>
      </c>
      <c r="BB29" s="1129" t="s">
        <v>1519</v>
      </c>
      <c r="BC29" s="1100"/>
      <c r="BE29" s="1129">
        <v>2027</v>
      </c>
      <c r="BJ29" s="1077" t="s">
        <v>1559</v>
      </c>
      <c r="BL29" s="1077" t="s">
        <v>1559</v>
      </c>
    </row>
    <row customHeight="1" ht="11.25">
      <c r="A30" s="1083" t="s">
        <v>1660</v>
      </c>
      <c r="D30" s="1116"/>
      <c r="E30" s="1117"/>
      <c r="F30" s="1117"/>
      <c r="AX30" s="1129" t="s">
        <v>193</v>
      </c>
      <c r="AZ30" s="1129" t="s">
        <v>1344</v>
      </c>
      <c r="BE30" s="1129">
        <v>2028</v>
      </c>
      <c r="BJ30" s="1077" t="s">
        <v>1661</v>
      </c>
      <c r="BL30" s="1077" t="s">
        <v>1661</v>
      </c>
    </row>
    <row customHeight="1" ht="12.75">
      <c r="A31" s="1083" t="s">
        <v>1662</v>
      </c>
      <c r="D31" s="1110"/>
      <c r="E31" s="1111"/>
      <c r="F31" s="1111"/>
      <c r="H31" s="1118"/>
      <c r="AX31" s="1129" t="s">
        <v>1663</v>
      </c>
      <c r="AZ31" s="1129" t="s">
        <v>1664</v>
      </c>
      <c r="BE31" s="1129">
        <v>2029</v>
      </c>
      <c r="BJ31" s="1077" t="s">
        <v>1665</v>
      </c>
      <c r="BL31" s="1077" t="s">
        <v>1665</v>
      </c>
    </row>
    <row customHeight="1" ht="11.25">
      <c r="A32" s="1083" t="s">
        <v>1666</v>
      </c>
      <c r="D32" s="1113" t="s">
        <v>1667</v>
      </c>
      <c r="E32" s="1114" t="str">
        <f>IF(TEMPLATE_GROUP="","",INDEX(StartDateList,MATCH(TEMPLATE_GROUP,CodeTemplateList,0),1))</f>
        <v>01.04.2026</v>
      </c>
      <c r="F32" s="1114" t="str">
        <f>IF(TEMPLATE_GROUP="","",INDEX(EndDateList,MATCH(TEMPLATE_GROUP,CodeTemplateList,0),1))</f>
        <v>30.06.2026</v>
      </c>
      <c r="H32" s="1119" t="s">
        <v>1668</v>
      </c>
      <c r="O32" s="1083" t="s">
        <v>1316</v>
      </c>
      <c r="AX32" s="1129" t="s">
        <v>1669</v>
      </c>
      <c r="AZ32" s="1129" t="s">
        <v>1412</v>
      </c>
      <c r="BE32" s="1129">
        <v>2030</v>
      </c>
      <c r="BJ32" s="1077" t="s">
        <v>1567</v>
      </c>
      <c r="BL32" s="1077" t="s">
        <v>1567</v>
      </c>
    </row>
    <row customHeight="1" ht="11.25">
      <c r="A33" s="1083" t="s">
        <v>1670</v>
      </c>
      <c r="O33" s="1083" t="s">
        <v>1341</v>
      </c>
      <c r="AX33" s="1129" t="s">
        <v>1671</v>
      </c>
      <c r="AZ33" s="1129" t="s">
        <v>1317</v>
      </c>
      <c r="BE33" s="1129">
        <v>2031</v>
      </c>
      <c r="BJ33" s="1077" t="s">
        <v>1573</v>
      </c>
      <c r="BL33" s="1077" t="s">
        <v>1573</v>
      </c>
    </row>
    <row customHeight="1" ht="11.25">
      <c r="A34" s="1083" t="s">
        <v>1672</v>
      </c>
      <c r="O34" s="1083" t="s">
        <v>1377</v>
      </c>
      <c r="AX34" s="1129" t="s">
        <v>1673</v>
      </c>
      <c r="BE34" s="1129">
        <v>2032</v>
      </c>
      <c r="BJ34" s="1077" t="s">
        <v>1583</v>
      </c>
      <c r="BL34" s="1077" t="s">
        <v>1583</v>
      </c>
    </row>
    <row customHeight="1" ht="11.25">
      <c r="A35" s="1083" t="s">
        <v>1674</v>
      </c>
      <c r="O35" s="1083" t="s">
        <v>1410</v>
      </c>
      <c r="AX35" s="1129" t="s">
        <v>1675</v>
      </c>
      <c r="AZ35" s="1076" t="s">
        <v>1676</v>
      </c>
      <c r="BE35" s="1129">
        <v>2033</v>
      </c>
      <c r="BL35" s="1077" t="s">
        <v>1677</v>
      </c>
    </row>
    <row customHeight="1" ht="11.25">
      <c r="A36" s="1879" t="s">
        <v>1678</v>
      </c>
      <c r="D36" s="1120" t="s">
        <v>1679</v>
      </c>
      <c r="E36" s="1121" t="s">
        <v>910</v>
      </c>
      <c r="F36" s="1122" t="str">
        <f>INDEX(E37:E41,MATCH(TEMPLATE_SPHERE,F37:F41,0))</f>
        <v>теплоснабжения</v>
      </c>
      <c r="G36" s="1122" t="str">
        <f>INDEX(G37:G41,MATCH(TEMPLATE_SPHERE,F37:F41,0))</f>
        <v>теплоснабжение</v>
      </c>
      <c r="O36" s="1083" t="s">
        <v>1435</v>
      </c>
      <c r="AX36" s="1129" t="s">
        <v>1680</v>
      </c>
      <c r="AZ36" s="1129" t="s">
        <v>1317</v>
      </c>
      <c r="BE36" s="1129">
        <v>2034</v>
      </c>
      <c r="BL36" s="1077" t="s">
        <v>1681</v>
      </c>
    </row>
    <row customHeight="1" ht="11.25">
      <c r="A37" s="1083" t="s">
        <v>1682</v>
      </c>
      <c r="E37" s="416" t="s">
        <v>1683</v>
      </c>
      <c r="F37" s="1123" t="s">
        <v>910</v>
      </c>
      <c r="G37" s="416" t="s">
        <v>1684</v>
      </c>
      <c r="O37" s="1083" t="s">
        <v>1454</v>
      </c>
      <c r="AX37" s="1129" t="s">
        <v>1685</v>
      </c>
      <c r="AZ37" s="1129" t="s">
        <v>1343</v>
      </c>
      <c r="BE37" s="1129">
        <v>2035</v>
      </c>
    </row>
    <row customHeight="1" ht="11.25">
      <c r="A38" s="1083" t="s">
        <v>1686</v>
      </c>
      <c r="E38" s="416" t="s">
        <v>1687</v>
      </c>
      <c r="F38" s="1124" t="s">
        <v>956</v>
      </c>
      <c r="G38" s="416" t="s">
        <v>1688</v>
      </c>
      <c r="O38" s="1083" t="s">
        <v>1471</v>
      </c>
      <c r="AX38" s="1129" t="s">
        <v>1689</v>
      </c>
      <c r="AZ38" s="1129" t="s">
        <v>1378</v>
      </c>
      <c r="BE38" s="1129">
        <v>2036</v>
      </c>
      <c r="BH38" s="1076" t="s">
        <v>1690</v>
      </c>
      <c r="BJ38" s="1076" t="s">
        <v>1691</v>
      </c>
      <c r="BL38" s="1076" t="s">
        <v>1692</v>
      </c>
      <c r="BN38" s="1076" t="s">
        <v>1693</v>
      </c>
    </row>
    <row customHeight="1" ht="11.25">
      <c r="A39" s="1083" t="s">
        <v>1694</v>
      </c>
      <c r="E39" s="416" t="s">
        <v>1695</v>
      </c>
      <c r="F39" s="1124" t="s">
        <v>1009</v>
      </c>
      <c r="G39" s="416" t="s">
        <v>1696</v>
      </c>
      <c r="O39" s="1083" t="s">
        <v>1487</v>
      </c>
      <c r="AX39" s="1129" t="s">
        <v>1697</v>
      </c>
      <c r="AZ39" s="1129" t="s">
        <v>1411</v>
      </c>
      <c r="BE39" s="1129">
        <v>2037</v>
      </c>
      <c r="BH39" s="1077" t="s">
        <v>1698</v>
      </c>
      <c r="BJ39" s="1226" t="s">
        <v>1698</v>
      </c>
      <c r="BL39" s="1226" t="s">
        <v>1698</v>
      </c>
      <c r="BN39" s="1077" t="s">
        <v>1699</v>
      </c>
    </row>
    <row customHeight="1" ht="11.25">
      <c r="A40" s="1083" t="s">
        <v>1700</v>
      </c>
      <c r="E40" s="416" t="s">
        <v>1701</v>
      </c>
      <c r="F40" s="1124" t="s">
        <v>996</v>
      </c>
      <c r="G40" s="416" t="s">
        <v>1702</v>
      </c>
      <c r="O40" s="1083" t="s">
        <v>1503</v>
      </c>
      <c r="AX40" s="1129" t="s">
        <v>1703</v>
      </c>
      <c r="BE40" s="1129">
        <v>2038</v>
      </c>
      <c r="BH40" s="1077" t="s">
        <v>1704</v>
      </c>
      <c r="BJ40" s="1226" t="s">
        <v>1129</v>
      </c>
      <c r="BL40" s="1226" t="s">
        <v>1129</v>
      </c>
      <c r="BN40" s="1077" t="s">
        <v>1163</v>
      </c>
    </row>
    <row customHeight="1" ht="11.25">
      <c r="A41" s="1083" t="s">
        <v>1705</v>
      </c>
      <c r="E41" s="416" t="s">
        <v>1706</v>
      </c>
      <c r="F41" s="1124" t="s">
        <v>1707</v>
      </c>
      <c r="G41" s="416" t="s">
        <v>1706</v>
      </c>
      <c r="O41" s="1083" t="s">
        <v>1519</v>
      </c>
      <c r="AX41" s="1129" t="s">
        <v>1708</v>
      </c>
      <c r="AZ41" s="1076" t="s">
        <v>1709</v>
      </c>
      <c r="BE41" s="1129">
        <v>2039</v>
      </c>
      <c r="BH41" s="1077" t="s">
        <v>1710</v>
      </c>
      <c r="BJ41" s="1226" t="s">
        <v>1125</v>
      </c>
      <c r="BL41" s="1226" t="s">
        <v>1125</v>
      </c>
      <c r="BN41" s="1077" t="s">
        <v>1150</v>
      </c>
    </row>
    <row customHeight="1" ht="11.25">
      <c r="A42" s="1083" t="s">
        <v>1711</v>
      </c>
      <c r="AX42" s="1129" t="s">
        <v>1712</v>
      </c>
      <c r="AZ42" s="1129" t="s">
        <v>1316</v>
      </c>
      <c r="BE42" s="1129">
        <v>2040</v>
      </c>
      <c r="BH42" s="1077" t="s">
        <v>1147</v>
      </c>
      <c r="BJ42" s="1226" t="s">
        <v>1127</v>
      </c>
      <c r="BL42" s="1226" t="s">
        <v>1127</v>
      </c>
      <c r="BN42" s="1077" t="s">
        <v>1713</v>
      </c>
    </row>
    <row customHeight="1" ht="11.25">
      <c r="A43" s="1083" t="s">
        <v>1714</v>
      </c>
      <c r="AX43" s="1129" t="s">
        <v>1715</v>
      </c>
      <c r="AZ43" s="1129" t="s">
        <v>1341</v>
      </c>
      <c r="BE43" s="1129">
        <v>2041</v>
      </c>
      <c r="BH43" s="1077" t="s">
        <v>1716</v>
      </c>
      <c r="BJ43" s="1226" t="s">
        <v>1710</v>
      </c>
      <c r="BL43" s="1226" t="s">
        <v>1710</v>
      </c>
      <c r="BN43" s="1077" t="s">
        <v>1717</v>
      </c>
    </row>
    <row customHeight="1" ht="11.25">
      <c r="A44" s="1083" t="s">
        <v>1718</v>
      </c>
      <c r="G44" s="1103">
        <f>YEAR(TODAY())</f>
        <v>2026</v>
      </c>
      <c r="I44" s="808" t="s">
        <v>1719</v>
      </c>
      <c r="J44" s="1098" t="s">
        <v>1720</v>
      </c>
      <c r="K44" s="1098" t="s">
        <v>1721</v>
      </c>
      <c r="AX44" s="1129" t="s">
        <v>1722</v>
      </c>
      <c r="AZ44" s="1129" t="s">
        <v>1377</v>
      </c>
      <c r="BE44" s="1129">
        <v>2042</v>
      </c>
      <c r="BH44" s="1077" t="s">
        <v>1723</v>
      </c>
      <c r="BJ44" s="1226" t="s">
        <v>1147</v>
      </c>
      <c r="BL44" s="1226" t="s">
        <v>1147</v>
      </c>
      <c r="BN44" s="1077" t="s">
        <v>1724</v>
      </c>
    </row>
    <row customHeight="1" ht="11.25">
      <c r="A45" s="1083" t="s">
        <v>1725</v>
      </c>
      <c r="D45" s="1120" t="s">
        <v>1726</v>
      </c>
      <c r="E45" s="1121" t="s">
        <v>1727</v>
      </c>
      <c r="F45" s="806" t="s">
        <v>1728</v>
      </c>
      <c r="G45" s="805" t="s">
        <v>1729</v>
      </c>
      <c r="H45" s="808" t="s">
        <v>1730</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1731</v>
      </c>
      <c r="AZ45" s="1129" t="s">
        <v>1410</v>
      </c>
      <c r="BE45" s="1129">
        <v>2043</v>
      </c>
      <c r="BH45" s="1077" t="s">
        <v>1732</v>
      </c>
      <c r="BJ45" s="1226" t="s">
        <v>1141</v>
      </c>
      <c r="BL45" s="1226" t="s">
        <v>1141</v>
      </c>
      <c r="BN45" s="1077" t="s">
        <v>1733</v>
      </c>
    </row>
    <row customHeight="1" ht="11.25">
      <c r="A46" s="1083" t="s">
        <v>1734</v>
      </c>
      <c r="E46" s="416" t="s">
        <v>27</v>
      </c>
      <c r="F46" s="1123" t="s">
        <v>1735</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(теплоснабжения)</v>
      </c>
      <c r="K46" s="1755"/>
      <c r="AX46" s="1129" t="s">
        <v>1736</v>
      </c>
      <c r="AZ46" s="1129" t="s">
        <v>1435</v>
      </c>
      <c r="BE46" s="1129">
        <v>2044</v>
      </c>
      <c r="BH46" s="1077" t="s">
        <v>1150</v>
      </c>
      <c r="BJ46" s="1226" t="s">
        <v>1131</v>
      </c>
      <c r="BL46" s="1226" t="s">
        <v>1131</v>
      </c>
      <c r="BN46" s="1077" t="s">
        <v>1737</v>
      </c>
    </row>
    <row customHeight="1" ht="11.25">
      <c r="A47" s="1083" t="s">
        <v>1738</v>
      </c>
      <c r="E47" s="416" t="s">
        <v>33</v>
      </c>
      <c r="F47" s="1124" t="s">
        <v>1727</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5"/>
      <c r="AX47" s="1129" t="s">
        <v>1739</v>
      </c>
      <c r="AZ47" s="1129" t="s">
        <v>1454</v>
      </c>
      <c r="BE47" s="1129">
        <v>2045</v>
      </c>
      <c r="BH47" s="1077" t="s">
        <v>1713</v>
      </c>
      <c r="BJ47" s="1226" t="s">
        <v>1133</v>
      </c>
      <c r="BL47" s="1226" t="s">
        <v>1133</v>
      </c>
      <c r="BN47" s="1077" t="s">
        <v>1740</v>
      </c>
    </row>
    <row customHeight="1" ht="11.25">
      <c r="A48" s="1083" t="s">
        <v>1741</v>
      </c>
      <c r="E48" s="416" t="s">
        <v>1742</v>
      </c>
      <c r="F48" s="1124" t="s">
        <v>1743</v>
      </c>
      <c r="G48" s="1125" t="str">
        <f>_xlfn.IFERROR(IF(f_year="","01.01."&amp;CURRENT_YEAR,"01.01."&amp;f_year),"01.01."&amp;CURRENT_YEAR)</f>
        <v>01.01.2026</v>
      </c>
      <c r="H48" s="1125" t="str">
        <f>_xlfn.IFERROR(IF(f_year="","31.12."&amp;CURRENT_YEAR,"31.12."&amp;f_year),"31.12."&amp;CURRENT_YEAR)</f>
        <v>31.12.2026</v>
      </c>
      <c r="I48" s="1751">
        <f>IF(f_year="",TRUE,FALSE)</f>
        <v>0</v>
      </c>
      <c r="J48" s="1754" t="s">
        <v>1744</v>
      </c>
      <c r="K48" s="1755"/>
      <c r="AX48" s="1129" t="s">
        <v>1745</v>
      </c>
      <c r="AZ48" s="1129" t="s">
        <v>1471</v>
      </c>
      <c r="BE48" s="1129">
        <v>2046</v>
      </c>
      <c r="BH48" s="1077" t="s">
        <v>1717</v>
      </c>
      <c r="BJ48" s="1226" t="s">
        <v>1135</v>
      </c>
      <c r="BL48" s="1226" t="s">
        <v>1135</v>
      </c>
      <c r="BN48" s="1077" t="s">
        <v>1746</v>
      </c>
    </row>
    <row customHeight="1" ht="11.25">
      <c r="A49" s="1083" t="s">
        <v>1747</v>
      </c>
      <c r="E49" s="416" t="s">
        <v>1748</v>
      </c>
      <c r="F49" s="1124" t="s">
        <v>1749</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5"/>
      <c r="AX49" s="1129" t="s">
        <v>1750</v>
      </c>
      <c r="AZ49" s="1129" t="s">
        <v>1487</v>
      </c>
      <c r="BE49" s="1129">
        <v>2047</v>
      </c>
      <c r="BH49" s="1077" t="s">
        <v>1151</v>
      </c>
      <c r="BJ49" s="1226" t="s">
        <v>1137</v>
      </c>
      <c r="BL49" s="1226" t="s">
        <v>1137</v>
      </c>
    </row>
    <row customHeight="1" ht="11.25">
      <c r="A50" s="1083" t="s">
        <v>1751</v>
      </c>
      <c r="E50" s="416" t="s">
        <v>1752</v>
      </c>
      <c r="F50" s="1124" t="s">
        <v>1121</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5"/>
      <c r="AX50" s="1129" t="s">
        <v>1753</v>
      </c>
      <c r="AZ50" s="1129" t="s">
        <v>1503</v>
      </c>
      <c r="BE50" s="1129">
        <v>2048</v>
      </c>
      <c r="BH50" s="1077" t="s">
        <v>1724</v>
      </c>
      <c r="BJ50" s="1226" t="s">
        <v>1139</v>
      </c>
      <c r="BL50" s="1226" t="s">
        <v>1139</v>
      </c>
    </row>
    <row customHeight="1" ht="11.25">
      <c r="A51" s="1083" t="s">
        <v>1754</v>
      </c>
      <c r="E51" s="416" t="s">
        <v>1755</v>
      </c>
      <c r="F51" s="1124" t="s">
        <v>1756</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1757</v>
      </c>
      <c r="AZ51" s="1129" t="s">
        <v>1519</v>
      </c>
      <c r="BE51" s="1129">
        <v>2049</v>
      </c>
      <c r="BH51" s="1077" t="s">
        <v>1733</v>
      </c>
      <c r="BJ51" s="1226" t="s">
        <v>1758</v>
      </c>
      <c r="BL51" s="1226" t="s">
        <v>1758</v>
      </c>
    </row>
    <row customHeight="1" ht="11.25">
      <c r="A52" s="1083" t="s">
        <v>1759</v>
      </c>
      <c r="E52" s="416" t="s">
        <v>1760</v>
      </c>
      <c r="F52" s="1124" t="s">
        <v>1761</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теплоснабжения (цены и тарифы)</v>
      </c>
      <c r="K52" s="1755"/>
      <c r="AX52" s="1129" t="s">
        <v>1762</v>
      </c>
      <c r="AZ52" s="1129" t="s">
        <v>1317</v>
      </c>
      <c r="BE52" s="1129">
        <v>2050</v>
      </c>
      <c r="BH52" s="1077" t="s">
        <v>1737</v>
      </c>
      <c r="BJ52" s="1226" t="s">
        <v>1150</v>
      </c>
      <c r="BL52" s="1226" t="s">
        <v>1150</v>
      </c>
    </row>
    <row customHeight="1" ht="11.25">
      <c r="A53" s="1083" t="s">
        <v>1763</v>
      </c>
      <c r="E53" s="416" t="s">
        <v>1764</v>
      </c>
      <c r="F53" s="1124" t="s">
        <v>1764</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1765</v>
      </c>
      <c r="K53" s="1755"/>
      <c r="AX53" s="1129" t="s">
        <v>1766</v>
      </c>
      <c r="BE53" s="1129">
        <v>2051</v>
      </c>
      <c r="BH53" s="1077" t="s">
        <v>1740</v>
      </c>
      <c r="BJ53" s="1226" t="s">
        <v>1713</v>
      </c>
      <c r="BL53" s="1226" t="s">
        <v>1713</v>
      </c>
    </row>
    <row customHeight="1" ht="11.25">
      <c r="A54" s="1083" t="s">
        <v>1767</v>
      </c>
      <c r="AX54" s="1129" t="s">
        <v>1768</v>
      </c>
      <c r="AZ54" s="1076" t="s">
        <v>1769</v>
      </c>
      <c r="BE54" s="1129">
        <v>2052</v>
      </c>
      <c r="BH54" s="1077" t="s">
        <v>1746</v>
      </c>
      <c r="BJ54" s="1226" t="s">
        <v>1717</v>
      </c>
      <c r="BL54" s="1226" t="s">
        <v>1717</v>
      </c>
    </row>
    <row customHeight="1" ht="11.25">
      <c r="A55" s="1083" t="s">
        <v>1770</v>
      </c>
      <c r="AX55" s="1129" t="s">
        <v>1771</v>
      </c>
      <c r="AZ55" s="1129" t="s">
        <v>1319</v>
      </c>
      <c r="BE55" s="1129">
        <v>2053</v>
      </c>
      <c r="BH55" s="1079" t="s">
        <v>22</v>
      </c>
      <c r="BJ55" s="1226" t="s">
        <v>1151</v>
      </c>
      <c r="BL55" s="1226" t="s">
        <v>1151</v>
      </c>
    </row>
    <row customHeight="1" ht="11.25">
      <c r="A56" s="1083" t="s">
        <v>1772</v>
      </c>
      <c r="D56" s="1127" t="s">
        <v>1773</v>
      </c>
      <c r="E56" s="1104" t="s">
        <v>111</v>
      </c>
      <c r="F56" s="1083" t="s">
        <v>1774</v>
      </c>
      <c r="AX56" s="1129" t="s">
        <v>1775</v>
      </c>
      <c r="AZ56" s="1129" t="s">
        <v>1345</v>
      </c>
      <c r="BE56" s="1129">
        <v>2054</v>
      </c>
      <c r="BH56" s="1079" t="s">
        <v>22</v>
      </c>
      <c r="BJ56" s="1226" t="s">
        <v>1724</v>
      </c>
      <c r="BL56" s="1226" t="s">
        <v>1724</v>
      </c>
    </row>
    <row customHeight="1" ht="11.25">
      <c r="A57" s="1083" t="s">
        <v>1776</v>
      </c>
      <c r="D57" s="1127" t="s">
        <v>1777</v>
      </c>
      <c r="E57" s="1104" t="s">
        <v>1778</v>
      </c>
      <c r="F57" s="1083" t="s">
        <v>1774</v>
      </c>
      <c r="AX57" s="1129" t="s">
        <v>1779</v>
      </c>
      <c r="AZ57" s="1129" t="s">
        <v>1380</v>
      </c>
      <c r="BE57" s="1129">
        <v>2055</v>
      </c>
      <c r="BJ57" s="1226" t="s">
        <v>1733</v>
      </c>
      <c r="BL57" s="1226" t="s">
        <v>1733</v>
      </c>
    </row>
    <row customHeight="1" ht="11.25">
      <c r="A58" s="1083" t="s">
        <v>1780</v>
      </c>
      <c r="D58" s="1127" t="s">
        <v>1781</v>
      </c>
      <c r="E58" s="1104" t="s">
        <v>111</v>
      </c>
      <c r="F58" s="1083" t="s">
        <v>1774</v>
      </c>
      <c r="AX58" s="1129" t="s">
        <v>1782</v>
      </c>
      <c r="BE58" s="1129">
        <v>2056</v>
      </c>
      <c r="BJ58" s="1226" t="s">
        <v>1737</v>
      </c>
      <c r="BL58" s="1226" t="s">
        <v>1737</v>
      </c>
    </row>
    <row customHeight="1" ht="11.25">
      <c r="A59" s="1083" t="s">
        <v>1783</v>
      </c>
      <c r="D59" s="1127" t="s">
        <v>212</v>
      </c>
      <c r="E59" s="1104" t="s">
        <v>1669</v>
      </c>
      <c r="F59" s="1083" t="s">
        <v>1784</v>
      </c>
      <c r="AX59" s="1129" t="s">
        <v>1785</v>
      </c>
      <c r="AZ59" s="1076" t="s">
        <v>1786</v>
      </c>
      <c r="BE59" s="1129">
        <v>2057</v>
      </c>
      <c r="BJ59" s="1226" t="s">
        <v>1740</v>
      </c>
      <c r="BL59" s="1226" t="s">
        <v>1740</v>
      </c>
    </row>
    <row customHeight="1" ht="11.25">
      <c r="A60" s="1083" t="s">
        <v>1787</v>
      </c>
      <c r="D60" s="1127" t="s">
        <v>1788</v>
      </c>
      <c r="E60" s="1104" t="s">
        <v>1669</v>
      </c>
      <c r="F60" s="1083" t="s">
        <v>1784</v>
      </c>
      <c r="AX60" s="1129" t="s">
        <v>1789</v>
      </c>
      <c r="AZ60" s="1129" t="s">
        <v>1320</v>
      </c>
      <c r="BE60" s="1129">
        <v>2058</v>
      </c>
      <c r="BJ60" s="1226" t="s">
        <v>1746</v>
      </c>
      <c r="BL60" s="1226" t="s">
        <v>1746</v>
      </c>
    </row>
    <row customHeight="1" ht="11.25">
      <c r="A61" s="1083" t="s">
        <v>1790</v>
      </c>
      <c r="D61" s="1127" t="s">
        <v>1791</v>
      </c>
      <c r="E61" s="1104" t="s">
        <v>1669</v>
      </c>
      <c r="F61" s="1083" t="s">
        <v>1784</v>
      </c>
      <c r="AX61" s="1129" t="s">
        <v>1792</v>
      </c>
      <c r="AZ61" s="1129" t="s">
        <v>1346</v>
      </c>
      <c r="BE61" s="1129">
        <v>2059</v>
      </c>
      <c r="BL61" s="1226" t="s">
        <v>1143</v>
      </c>
    </row>
    <row customHeight="1" ht="11.25">
      <c r="A62" s="1083" t="s">
        <v>1793</v>
      </c>
      <c r="D62" s="1127" t="s">
        <v>211</v>
      </c>
      <c r="E62" s="1104">
        <v>30</v>
      </c>
      <c r="F62" s="1083" t="s">
        <v>1784</v>
      </c>
      <c r="AZ62" s="1129" t="s">
        <v>1381</v>
      </c>
      <c r="BE62" s="1129">
        <v>2060</v>
      </c>
      <c r="BL62" s="1226" t="s">
        <v>1145</v>
      </c>
    </row>
    <row customHeight="1" ht="11.25">
      <c r="A63" s="1083" t="s">
        <v>1794</v>
      </c>
      <c r="D63" s="1127" t="s">
        <v>1795</v>
      </c>
      <c r="E63" s="1104">
        <v>30</v>
      </c>
      <c r="F63" s="1083" t="s">
        <v>1784</v>
      </c>
      <c r="AZ63" s="1129" t="s">
        <v>1413</v>
      </c>
      <c r="BE63" s="1129">
        <v>2061</v>
      </c>
    </row>
    <row customHeight="1" ht="11.25">
      <c r="A64" s="1083" t="s">
        <v>1796</v>
      </c>
      <c r="D64" s="1127" t="s">
        <v>1797</v>
      </c>
      <c r="E64" s="1104">
        <v>30</v>
      </c>
      <c r="F64" s="1083" t="s">
        <v>1784</v>
      </c>
      <c r="AZ64" s="1129" t="s">
        <v>1436</v>
      </c>
      <c r="BE64" s="1129">
        <v>2062</v>
      </c>
    </row>
    <row customHeight="1" ht="11.25">
      <c r="A65" s="1083" t="s">
        <v>1798</v>
      </c>
      <c r="D65" s="1083"/>
      <c r="BE65" s="1129">
        <v>2063</v>
      </c>
    </row>
    <row customHeight="1" ht="11.25">
      <c r="A66" s="1083" t="s">
        <v>1799</v>
      </c>
      <c r="AZ66" s="1076" t="s">
        <v>1800</v>
      </c>
      <c r="BE66" s="1129">
        <v>2064</v>
      </c>
    </row>
    <row customHeight="1" ht="11.25">
      <c r="A67" s="1083" t="s">
        <v>1801</v>
      </c>
      <c r="AZ67" s="1129" t="s">
        <v>1321</v>
      </c>
      <c r="BE67" s="1129">
        <v>2065</v>
      </c>
    </row>
    <row customHeight="1" ht="11.25">
      <c r="A68" s="1083" t="s">
        <v>1802</v>
      </c>
      <c r="AZ68" s="1129" t="s">
        <v>1347</v>
      </c>
      <c r="BE68" s="1129">
        <v>2066</v>
      </c>
      <c r="BH68" s="1076" t="s">
        <v>1803</v>
      </c>
      <c r="BJ68" s="1076" t="s">
        <v>1804</v>
      </c>
      <c r="BL68" s="1076" t="s">
        <v>1805</v>
      </c>
      <c r="BN68" s="1076" t="s">
        <v>1806</v>
      </c>
    </row>
    <row customHeight="1" ht="11.25">
      <c r="A69" s="1083" t="s">
        <v>1807</v>
      </c>
      <c r="AZ69" s="1129" t="s">
        <v>1382</v>
      </c>
      <c r="BE69" s="1129">
        <v>2067</v>
      </c>
      <c r="BH69" s="1077" t="s">
        <v>1808</v>
      </c>
      <c r="BI69" s="1126" t="s">
        <v>109</v>
      </c>
      <c r="BJ69" s="1077" t="s">
        <v>1809</v>
      </c>
      <c r="BK69" s="1126" t="s">
        <v>109</v>
      </c>
      <c r="BL69" s="1077" t="s">
        <v>1810</v>
      </c>
      <c r="BM69" s="1079" t="s">
        <v>109</v>
      </c>
      <c r="BN69" s="1077" t="s">
        <v>1811</v>
      </c>
    </row>
    <row customHeight="1" ht="11.25">
      <c r="A70" s="1083" t="s">
        <v>16</v>
      </c>
      <c r="AZ70" s="1129" t="s">
        <v>1414</v>
      </c>
      <c r="BE70" s="1129">
        <v>2068</v>
      </c>
      <c r="BH70" s="1077" t="s">
        <v>1812</v>
      </c>
      <c r="BJ70" s="1077" t="s">
        <v>1813</v>
      </c>
      <c r="BL70" s="1077" t="s">
        <v>1814</v>
      </c>
      <c r="BN70" s="1077" t="s">
        <v>1815</v>
      </c>
    </row>
    <row customHeight="1" ht="11.25">
      <c r="A71" s="1083" t="s">
        <v>1816</v>
      </c>
      <c r="AZ71" s="1129" t="s">
        <v>1416</v>
      </c>
      <c r="BE71" s="1129">
        <v>2069</v>
      </c>
      <c r="BH71" s="1077" t="s">
        <v>1817</v>
      </c>
      <c r="BI71" s="1126" t="s">
        <v>90</v>
      </c>
      <c r="BJ71" s="1077" t="s">
        <v>1818</v>
      </c>
      <c r="BK71" s="1126" t="s">
        <v>90</v>
      </c>
      <c r="BL71" s="1077" t="s">
        <v>1819</v>
      </c>
      <c r="BM71" s="1079" t="s">
        <v>90</v>
      </c>
      <c r="BN71" s="1077" t="s">
        <v>1820</v>
      </c>
    </row>
    <row customHeight="1" ht="11.25">
      <c r="A72" s="1083" t="s">
        <v>1821</v>
      </c>
      <c r="AZ72" s="1129" t="s">
        <v>19</v>
      </c>
      <c r="BE72" s="1129">
        <v>2070</v>
      </c>
      <c r="BH72" s="1077" t="s">
        <v>1822</v>
      </c>
      <c r="BJ72" s="1077" t="s">
        <v>1822</v>
      </c>
      <c r="BL72" s="1077" t="s">
        <v>1822</v>
      </c>
      <c r="BN72" s="1077" t="s">
        <v>1823</v>
      </c>
    </row>
    <row customHeight="1" ht="11.25">
      <c r="A73" s="1083" t="s">
        <v>1824</v>
      </c>
      <c r="BH73" s="1077" t="s">
        <v>1825</v>
      </c>
      <c r="BI73" s="1126" t="s">
        <v>111</v>
      </c>
      <c r="BJ73" s="1077" t="s">
        <v>1826</v>
      </c>
      <c r="BK73" s="1126" t="s">
        <v>111</v>
      </c>
      <c r="BL73" s="1077" t="s">
        <v>1827</v>
      </c>
      <c r="BM73" s="1079" t="s">
        <v>111</v>
      </c>
      <c r="BN73" s="1077" t="s">
        <v>1828</v>
      </c>
    </row>
    <row customHeight="1" ht="11.25">
      <c r="A74" s="1083" t="s">
        <v>1829</v>
      </c>
      <c r="BH74" s="1077" t="s">
        <v>1830</v>
      </c>
      <c r="BJ74" s="1077" t="s">
        <v>1831</v>
      </c>
      <c r="BL74" s="1077" t="s">
        <v>1832</v>
      </c>
      <c r="BN74" s="1077" t="s">
        <v>1833</v>
      </c>
    </row>
    <row customHeight="1" ht="11.25">
      <c r="A75" s="1083" t="s">
        <v>1834</v>
      </c>
      <c r="AZ75" s="1076" t="s">
        <v>1835</v>
      </c>
      <c r="BH75" s="1077" t="s">
        <v>1836</v>
      </c>
      <c r="BJ75" s="1077" t="s">
        <v>1836</v>
      </c>
      <c r="BL75" s="1077" t="s">
        <v>1836</v>
      </c>
    </row>
    <row customHeight="1" ht="11.25">
      <c r="A76" s="1083" t="s">
        <v>1837</v>
      </c>
      <c r="AZ76" s="1129" t="s">
        <v>1330</v>
      </c>
      <c r="BH76" s="1077" t="s">
        <v>1838</v>
      </c>
      <c r="BJ76" s="1077" t="s">
        <v>1839</v>
      </c>
      <c r="BL76" s="1077" t="s">
        <v>1840</v>
      </c>
    </row>
    <row customHeight="1" ht="11.25">
      <c r="A77" s="1083" t="s">
        <v>1841</v>
      </c>
      <c r="AZ77" s="1129" t="s">
        <v>1357</v>
      </c>
    </row>
    <row customHeight="1" ht="11.25">
      <c r="A78" s="1083" t="s">
        <v>1842</v>
      </c>
      <c r="AZ78" s="1129" t="s">
        <v>1389</v>
      </c>
    </row>
    <row customHeight="1" ht="11.25">
      <c r="A79" s="1083" t="s">
        <v>1843</v>
      </c>
      <c r="AZ79" s="1129" t="s">
        <v>1420</v>
      </c>
      <c r="BH79" s="1076" t="s">
        <v>1844</v>
      </c>
      <c r="BJ79" s="1076" t="s">
        <v>1845</v>
      </c>
      <c r="BL79" s="1076" t="s">
        <v>1846</v>
      </c>
    </row>
    <row customHeight="1" ht="11.25">
      <c r="A80" s="1083" t="s">
        <v>1847</v>
      </c>
      <c r="AZ80" s="1129" t="s">
        <v>1441</v>
      </c>
      <c r="BH80" s="1077" t="s">
        <v>1848</v>
      </c>
      <c r="BJ80" s="1077" t="s">
        <v>1849</v>
      </c>
      <c r="BL80" s="1077" t="s">
        <v>1850</v>
      </c>
    </row>
    <row customHeight="1" ht="11.25">
      <c r="A81" s="1083" t="s">
        <v>1851</v>
      </c>
      <c r="AZ81" s="1129" t="s">
        <v>1458</v>
      </c>
      <c r="BH81" s="1077" t="s">
        <v>1852</v>
      </c>
      <c r="BJ81" s="1077" t="s">
        <v>1853</v>
      </c>
      <c r="BL81" s="1077" t="s">
        <v>1854</v>
      </c>
    </row>
    <row customHeight="1" ht="11.25">
      <c r="A82" s="1083" t="s">
        <v>1855</v>
      </c>
      <c r="AZ82" s="1129" t="s">
        <v>1473</v>
      </c>
      <c r="BH82" s="1077" t="s">
        <v>1856</v>
      </c>
      <c r="BJ82" s="1077" t="s">
        <v>1857</v>
      </c>
      <c r="BL82" s="1077" t="s">
        <v>1858</v>
      </c>
    </row>
    <row customHeight="1" ht="11.25">
      <c r="A83" s="1083" t="s">
        <v>1859</v>
      </c>
      <c r="BH83" s="1077" t="s">
        <v>1860</v>
      </c>
      <c r="BJ83" s="1077" t="s">
        <v>1861</v>
      </c>
      <c r="BL83" s="1077" t="s">
        <v>1862</v>
      </c>
    </row>
    <row customHeight="1" ht="11.25">
      <c r="A84" s="1083" t="s">
        <v>1863</v>
      </c>
      <c r="AZ84" s="1076" t="s">
        <v>1864</v>
      </c>
    </row>
    <row customHeight="1" ht="11.25">
      <c r="A85" s="1879" t="s">
        <v>1865</v>
      </c>
      <c r="AZ85" s="1129" t="s">
        <v>1866</v>
      </c>
    </row>
    <row customHeight="1" ht="11.25">
      <c r="A86" s="1083" t="s">
        <v>1867</v>
      </c>
      <c r="AZ86" s="1129" t="s">
        <v>1868</v>
      </c>
      <c r="BH86" s="1076" t="s">
        <v>1869</v>
      </c>
      <c r="BJ86" s="1076" t="s">
        <v>1870</v>
      </c>
      <c r="BL86" s="1076" t="s">
        <v>1871</v>
      </c>
    </row>
    <row customHeight="1" ht="11.25">
      <c r="A87" s="1083" t="s">
        <v>1872</v>
      </c>
      <c r="AZ87" s="1129" t="s">
        <v>1873</v>
      </c>
      <c r="BH87" s="1077" t="s">
        <v>1874</v>
      </c>
      <c r="BJ87" s="1077" t="s">
        <v>1875</v>
      </c>
      <c r="BL87" s="1077" t="s">
        <v>1876</v>
      </c>
    </row>
    <row customHeight="1" ht="11.25">
      <c r="A88" s="1083" t="s">
        <v>1877</v>
      </c>
      <c r="AZ88" s="1615"/>
      <c r="BH88" s="1077" t="s">
        <v>1878</v>
      </c>
      <c r="BJ88" s="1077" t="s">
        <v>1879</v>
      </c>
      <c r="BL88" s="1077" t="s">
        <v>1880</v>
      </c>
    </row>
    <row customHeight="1" ht="11.25">
      <c r="A89" s="1083" t="s">
        <v>1881</v>
      </c>
      <c r="AZ89" s="1076" t="s">
        <v>1882</v>
      </c>
    </row>
    <row customHeight="1" ht="11.25">
      <c r="A90" s="1083" t="s">
        <v>1883</v>
      </c>
      <c r="AZ90" s="1129" t="s">
        <v>1121</v>
      </c>
    </row>
    <row customHeight="1" ht="11.25">
      <c r="A91" s="1083" t="s">
        <v>1884</v>
      </c>
      <c r="AZ91" s="1129" t="s">
        <v>1157</v>
      </c>
      <c r="BH91" s="1076" t="s">
        <v>1885</v>
      </c>
      <c r="BJ91" s="1076" t="s">
        <v>1886</v>
      </c>
      <c r="BL91" s="1076" t="s">
        <v>1887</v>
      </c>
    </row>
    <row customHeight="1" ht="11.25">
      <c r="AZ92" s="1129" t="s">
        <v>1888</v>
      </c>
      <c r="BH92" s="1077" t="s">
        <v>1889</v>
      </c>
      <c r="BJ92" s="1077" t="s">
        <v>1890</v>
      </c>
      <c r="BL92" s="1077" t="s">
        <v>1891</v>
      </c>
    </row>
    <row customHeight="1" ht="11.25">
      <c r="AZ93" s="1129" t="s">
        <v>1892</v>
      </c>
      <c r="BH93" s="1077" t="s">
        <v>1893</v>
      </c>
      <c r="BJ93" s="1077" t="s">
        <v>1894</v>
      </c>
      <c r="BL93" s="1077" t="s">
        <v>1895</v>
      </c>
    </row>
    <row customHeight="1" ht="11.25">
      <c r="AZ94" s="1129" t="s">
        <v>1896</v>
      </c>
    </row>
    <row r="96" customHeight="1" ht="11.25">
      <c r="AZ96" s="1076" t="s">
        <v>1897</v>
      </c>
      <c r="BH96" s="1076" t="s">
        <v>1898</v>
      </c>
      <c r="BJ96" s="1076" t="s">
        <v>1899</v>
      </c>
      <c r="BL96" s="1076" t="s">
        <v>1900</v>
      </c>
      <c r="BN96" s="1076" t="s">
        <v>1901</v>
      </c>
    </row>
    <row customHeight="1" ht="11.25">
      <c r="AZ97" s="1910" t="s">
        <v>1902</v>
      </c>
      <c r="BA97" s="1911" t="s">
        <v>1903</v>
      </c>
      <c r="BH97" s="1077" t="s">
        <v>1904</v>
      </c>
      <c r="BJ97" s="1077" t="s">
        <v>1905</v>
      </c>
      <c r="BL97" s="1077" t="s">
        <v>1906</v>
      </c>
      <c r="BN97" s="1077" t="s">
        <v>1907</v>
      </c>
    </row>
    <row customHeight="1" ht="11.25">
      <c r="AZ98" s="1910" t="s">
        <v>1908</v>
      </c>
      <c r="BA98" s="1911" t="s">
        <v>1909</v>
      </c>
      <c r="BH98" s="1077" t="s">
        <v>1910</v>
      </c>
      <c r="BJ98" s="1077" t="s">
        <v>1911</v>
      </c>
      <c r="BL98" s="1077" t="s">
        <v>1912</v>
      </c>
      <c r="BN98" s="1077" t="s">
        <v>1913</v>
      </c>
    </row>
    <row customHeight="1" ht="22.5">
      <c r="AZ99" s="1910" t="s">
        <v>1914</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1915</v>
      </c>
      <c r="BJ99" s="1077" t="s">
        <v>1916</v>
      </c>
      <c r="BL99" s="1077" t="s">
        <v>1917</v>
      </c>
      <c r="BN99" s="1077" t="s">
        <v>1918</v>
      </c>
    </row>
    <row customHeight="1" ht="22.5">
      <c r="AZ100" s="1910" t="s">
        <v>1919</v>
      </c>
      <c r="BA100"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7" t="s">
        <v>1519</v>
      </c>
      <c r="BL100" s="1077" t="s">
        <v>1519</v>
      </c>
      <c r="BN100" s="1077" t="s">
        <v>1920</v>
      </c>
    </row>
    <row customHeight="1" ht="22.5">
      <c r="AZ101" s="1910" t="s">
        <v>1921</v>
      </c>
      <c r="BA101" s="1911" t="s">
        <v>1922</v>
      </c>
      <c r="BN101" s="1077" t="s">
        <v>1923</v>
      </c>
    </row>
    <row customHeight="1" ht="22.5">
      <c r="AZ102" s="1910" t="s">
        <v>1924</v>
      </c>
      <c r="BA102"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7" t="s">
        <v>1925</v>
      </c>
    </row>
    <row customHeight="1" ht="11.25">
      <c r="AZ103" s="1910" t="s">
        <v>1926</v>
      </c>
      <c r="BA103" s="1911" t="s">
        <v>1927</v>
      </c>
      <c r="BN103" s="1077" t="s">
        <v>1928</v>
      </c>
    </row>
    <row customHeight="1" ht="11.25">
      <c r="BN104" s="1077" t="s">
        <v>1929</v>
      </c>
    </row>
    <row customHeight="1" ht="11.25">
      <c r="AZ105" s="1701" t="s">
        <v>1930</v>
      </c>
    </row>
    <row customHeight="1" ht="11.25">
      <c r="AZ106" s="1129" t="s">
        <v>1931</v>
      </c>
    </row>
    <row customHeight="1" ht="11.25">
      <c r="AZ107" s="1129" t="s">
        <v>1932</v>
      </c>
      <c r="BH107" s="1076" t="s">
        <v>1933</v>
      </c>
      <c r="BJ107" s="1076" t="s">
        <v>1934</v>
      </c>
      <c r="BL107" s="1076" t="s">
        <v>1935</v>
      </c>
      <c r="BN107" s="1076" t="s">
        <v>1936</v>
      </c>
    </row>
    <row customHeight="1" ht="11.25">
      <c r="AZ108" s="1129" t="s">
        <v>644</v>
      </c>
      <c r="BH108" s="1077" t="s">
        <v>1937</v>
      </c>
      <c r="BJ108" s="1077" t="s">
        <v>1938</v>
      </c>
      <c r="BL108" s="1077" t="s">
        <v>1601</v>
      </c>
      <c r="BN108" s="1077" t="s">
        <v>1939</v>
      </c>
    </row>
    <row customHeight="1" ht="11.25">
      <c r="BH109" s="1077" t="s">
        <v>1940</v>
      </c>
    </row>
    <row customHeight="1" ht="11.25">
      <c r="AZ110" s="1701" t="s">
        <v>1941</v>
      </c>
      <c r="BH110" s="1077" t="s">
        <v>1940</v>
      </c>
    </row>
    <row customHeight="1" ht="11.25">
      <c r="AZ111" s="1910" t="s">
        <v>1902</v>
      </c>
      <c r="BA111" s="1911" t="s">
        <v>1903</v>
      </c>
    </row>
    <row customHeight="1" ht="11.25">
      <c r="AZ112" s="1910" t="s">
        <v>1908</v>
      </c>
      <c r="BA112" s="1911" t="s">
        <v>1909</v>
      </c>
    </row>
    <row customHeight="1" ht="22.5">
      <c r="AZ113" s="1910" t="s">
        <v>1914</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1919</v>
      </c>
      <c r="BA114"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6" t="s">
        <v>1942</v>
      </c>
    </row>
    <row customHeight="1" ht="22.5">
      <c r="AZ115" s="1910" t="s">
        <v>1924</v>
      </c>
      <c r="BA115" s="191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7" t="s">
        <v>1317</v>
      </c>
    </row>
    <row customHeight="1" ht="11.25">
      <c r="AZ116" s="1910" t="s">
        <v>1926</v>
      </c>
      <c r="BA116" s="1911" t="s">
        <v>1927</v>
      </c>
      <c r="BH116" s="1077" t="s">
        <v>1343</v>
      </c>
    </row>
    <row customHeight="1" ht="11.25">
      <c r="BH117" s="1077" t="s">
        <v>1378</v>
      </c>
    </row>
    <row customHeight="1" ht="11.25">
      <c r="BH118" s="1077" t="s">
        <v>1411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DFFF-C5DA-43EB-A72D-0.B752A72B}"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372</v>
      </c>
      <c r="J1" s="464" t="s">
        <v>14</v>
      </c>
    </row>
    <row customHeight="1" ht="22.5" hidden="1">
      <c r="A2" s="511"/>
      <c r="B2" s="511"/>
      <c r="C2" s="1739" t="s">
        <v>121</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8"/>
      <c r="F5" s="2249"/>
      <c r="I5" s="724"/>
      <c r="J5" s="464">
        <v>26</v>
      </c>
    </row>
    <row customHeight="1" ht="18">
      <c r="D6" s="2185" t="str">
        <f>IF(region_name=0,"Не определено",region_name)</f>
        <v>Самарская область</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373</v>
      </c>
      <c r="E9" s="2214"/>
      <c r="F9" s="2214"/>
      <c r="G9" s="2217" t="s">
        <v>374</v>
      </c>
      <c r="J9" s="464">
        <v>11</v>
      </c>
    </row>
    <row customHeight="1" ht="11.549999999999999">
      <c r="A10" s="511"/>
      <c r="B10" s="511"/>
      <c r="C10" s="466"/>
      <c r="D10" s="1483" t="s">
        <v>88</v>
      </c>
      <c r="E10" s="1485" t="s">
        <v>375</v>
      </c>
      <c r="F10" s="1485" t="s">
        <v>376</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7" t="str">
        <f>IF(org="","",org)</f>
        <v>ООО "СамРЭК-Тепло Жигулевск"</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2"/>
      <c r="J12" s="464">
        <v>23</v>
      </c>
    </row>
    <row customHeight="1" ht="19.95">
      <c r="A13" s="511"/>
      <c r="B13" s="511"/>
      <c r="C13" s="466"/>
      <c r="D13" s="1529">
        <v>2</v>
      </c>
      <c r="E13" s="1536" t="s">
        <v>1943</v>
      </c>
      <c r="F13" s="1530" t="s">
        <v>379</v>
      </c>
      <c r="G13" s="483"/>
      <c r="H13" s="1542"/>
      <c r="J13" s="464">
        <v>19</v>
      </c>
    </row>
    <row customHeight="1" ht="19.95">
      <c r="A14" s="511"/>
      <c r="B14" s="511"/>
      <c r="C14" s="466"/>
      <c r="D14" s="1532" t="s">
        <v>811</v>
      </c>
      <c r="E14" s="1533" t="s">
        <v>1944</v>
      </c>
      <c r="F14" s="1535"/>
      <c r="G14" s="1534" t="s">
        <v>1945</v>
      </c>
      <c r="H14" s="1542"/>
      <c r="J14" s="464">
        <v>19</v>
      </c>
    </row>
    <row customHeight="1" ht="19.95">
      <c r="A15" s="511"/>
      <c r="B15" s="511"/>
      <c r="C15" s="466"/>
      <c r="D15" s="1532" t="s">
        <v>380</v>
      </c>
      <c r="E15" s="1533" t="s">
        <v>1946</v>
      </c>
      <c r="F15" s="1535"/>
      <c r="G15" s="1534" t="s">
        <v>1947</v>
      </c>
      <c r="H15" s="1542"/>
      <c r="J15" s="464">
        <v>19</v>
      </c>
    </row>
    <row customHeight="1" ht="24">
      <c r="A16" s="511"/>
      <c r="B16" s="511"/>
      <c r="C16" s="466"/>
      <c r="D16" s="1532" t="s">
        <v>383</v>
      </c>
      <c r="E16" s="1531" t="s">
        <v>1948</v>
      </c>
      <c r="F16" s="1540"/>
      <c r="G16" s="483" t="s">
        <v>1949</v>
      </c>
      <c r="H16" s="1542"/>
      <c r="J16" s="464">
        <v>23</v>
      </c>
    </row>
    <row customHeight="1" ht="48.29999999999999">
      <c r="A17" s="511"/>
      <c r="B17" s="511"/>
      <c r="C17" s="466"/>
      <c r="D17" s="1529">
        <v>3</v>
      </c>
      <c r="E17" s="1536" t="s">
        <v>1950</v>
      </c>
      <c r="F17" s="1535"/>
      <c r="G17" s="483" t="s">
        <v>1951</v>
      </c>
      <c r="H17" s="1542"/>
      <c r="J17" s="464">
        <v>46</v>
      </c>
    </row>
    <row customHeight="1" ht="48.29999999999999">
      <c r="A18" s="1484">
        <v>1</v>
      </c>
      <c r="B18" s="511"/>
      <c r="C18" s="1486"/>
      <c r="D18" s="1529" t="s">
        <v>91</v>
      </c>
      <c r="E18" s="1536" t="s">
        <v>1952</v>
      </c>
      <c r="F18" s="1535"/>
      <c r="G18" s="483" t="s">
        <v>1951</v>
      </c>
      <c r="H18" s="1542"/>
      <c r="I18" s="861"/>
      <c r="J18" s="464">
        <v>46</v>
      </c>
    </row>
    <row customHeight="1" ht="23.25">
      <c r="A19" s="511"/>
      <c r="B19" s="511"/>
      <c r="C19" s="466"/>
      <c r="D19" s="1529" t="s">
        <v>111</v>
      </c>
      <c r="E19" s="1536" t="s">
        <v>1953</v>
      </c>
      <c r="F19" s="1530" t="s">
        <v>379</v>
      </c>
      <c r="G19" s="2480" t="s">
        <v>1954</v>
      </c>
      <c r="H19" s="484"/>
      <c r="J19" s="464">
        <v>22</v>
      </c>
    </row>
    <row s="1539" customFormat="1" customHeight="1" ht="5.25" hidden="1">
      <c r="A20" s="511"/>
      <c r="B20" s="511"/>
      <c r="C20" s="1538"/>
      <c r="D20" s="1537" t="s">
        <v>1218</v>
      </c>
      <c r="E20" s="1023"/>
      <c r="F20" s="1022"/>
      <c r="G20" s="2481"/>
      <c r="J20" s="1539">
        <v>0</v>
      </c>
    </row>
    <row customHeight="1" ht="15.75">
      <c r="A21" s="511"/>
      <c r="B21" s="511"/>
      <c r="C21" s="466"/>
      <c r="D21" s="476"/>
      <c r="E21" s="424" t="s">
        <v>412</v>
      </c>
      <c r="F21" s="478"/>
      <c r="G21" s="2482"/>
      <c r="H21" s="1542"/>
      <c r="J21" s="464">
        <v>15</v>
      </c>
    </row>
    <row s="510" customFormat="1" customHeight="1" ht="26.25">
      <c r="A22" s="511"/>
      <c r="B22" s="511"/>
      <c r="C22" s="511"/>
      <c r="D22" s="1529" t="s">
        <v>92</v>
      </c>
      <c r="E22" s="483" t="s">
        <v>1955</v>
      </c>
      <c r="F22" s="1535"/>
      <c r="G22" s="483" t="s">
        <v>1956</v>
      </c>
      <c r="H22" s="1541"/>
      <c r="J22" s="510">
        <v>25</v>
      </c>
    </row>
    <row s="510" customFormat="1" customHeight="1" ht="19.95">
      <c r="A23" s="511"/>
      <c r="B23" s="511"/>
      <c r="C23" s="511"/>
      <c r="D23" s="1529" t="s">
        <v>93</v>
      </c>
      <c r="E23" s="1536" t="s">
        <v>1957</v>
      </c>
      <c r="F23" s="1540"/>
      <c r="G23" s="483" t="s">
        <v>1958</v>
      </c>
      <c r="H23" s="1541"/>
      <c r="J23" s="510">
        <v>19</v>
      </c>
    </row>
    <row s="510" customFormat="1" customHeight="1" ht="144" hidden="1">
      <c r="A24" s="511"/>
      <c r="B24" s="511"/>
      <c r="C24" s="511"/>
      <c r="D24" s="1529" t="s">
        <v>112</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1"/>
      <c r="J24" s="510">
        <v>0</v>
      </c>
    </row>
    <row customHeight="1" ht="11.25" hidden="1">
      <c r="A25" s="510" t="s">
        <v>82</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7AC25-4104-DF07-6B05-0.CC697957}"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1959</v>
      </c>
      <c r="G1" s="1640" t="s">
        <v>48</v>
      </c>
      <c r="H1" s="1640" t="s">
        <v>50</v>
      </c>
      <c r="IU1" s="1164" t="s">
        <v>14</v>
      </c>
    </row>
    <row s="1859" customFormat="1" customHeight="1" ht="22.5" hidden="1">
      <c r="A2" s="840"/>
      <c r="B2" s="1169">
        <v>1</v>
      </c>
      <c r="C2" s="1169"/>
      <c r="D2" s="1937" t="s">
        <v>121</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83</v>
      </c>
      <c r="G3" s="503" t="s">
        <v>84</v>
      </c>
      <c r="H3" s="503"/>
      <c r="I3" s="503"/>
      <c r="J3" s="236" t="s">
        <v>85</v>
      </c>
      <c r="K3" s="256" t="s">
        <v>83</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373</v>
      </c>
      <c r="F7" s="2111"/>
      <c r="G7" s="2111"/>
      <c r="H7" s="2111"/>
      <c r="I7" s="2111"/>
      <c r="J7" s="2483" t="s">
        <v>374</v>
      </c>
      <c r="K7" s="509"/>
      <c r="L7" s="509"/>
      <c r="M7" s="509"/>
      <c r="N7" s="509"/>
      <c r="O7" s="235"/>
      <c r="P7" s="509"/>
      <c r="Q7" s="234"/>
      <c r="R7" s="234"/>
      <c r="S7" s="234"/>
      <c r="T7" s="234"/>
      <c r="IU7" s="516">
        <v>14</v>
      </c>
    </row>
    <row s="1828" customFormat="1" customHeight="1" ht="21">
      <c r="A8" s="1164"/>
      <c r="B8" s="1169"/>
      <c r="C8" s="1164"/>
      <c r="D8" s="1504"/>
      <c r="E8" s="1557" t="s">
        <v>88</v>
      </c>
      <c r="F8" s="1549" t="s">
        <v>1959</v>
      </c>
      <c r="G8" s="1549" t="s">
        <v>48</v>
      </c>
      <c r="H8" s="1549" t="s">
        <v>50</v>
      </c>
      <c r="I8" s="1549" t="s">
        <v>1960</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1961</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82</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8D89F-3B87-B264-9C5D-0.9016D359}"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121</v>
      </c>
      <c r="E2" s="1898"/>
      <c r="F2" s="1901" t="str">
        <f>IF(ROIV_INFO_NAME="","",ROIV_INFO_NAME)</f>
        <v>ООО "СамРЭК-Тепло Жигулевск"</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83</v>
      </c>
      <c r="G3" s="1744" t="s">
        <v>84</v>
      </c>
      <c r="H3" s="503"/>
      <c r="I3" s="503"/>
      <c r="J3" s="503"/>
      <c r="K3" s="503"/>
      <c r="L3" s="236" t="s">
        <v>85</v>
      </c>
      <c r="M3" s="256" t="s">
        <v>83</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373</v>
      </c>
      <c r="F7" s="2111"/>
      <c r="G7" s="2111"/>
      <c r="H7" s="2111"/>
      <c r="I7" s="2111"/>
      <c r="J7" s="2111"/>
      <c r="K7" s="2111"/>
      <c r="L7" s="2483" t="s">
        <v>374</v>
      </c>
      <c r="M7" s="509"/>
      <c r="N7" s="509"/>
      <c r="O7" s="509"/>
      <c r="P7" s="509"/>
      <c r="Q7" s="235"/>
      <c r="R7" s="509"/>
      <c r="S7" s="234"/>
      <c r="T7" s="234"/>
      <c r="U7" s="234"/>
      <c r="V7" s="234"/>
      <c r="IW7" s="516">
        <v>14</v>
      </c>
    </row>
    <row s="1828" customFormat="1" customHeight="1" ht="67.2">
      <c r="A8" s="1164"/>
      <c r="B8" s="1169"/>
      <c r="C8" s="1164"/>
      <c r="D8" s="1504"/>
      <c r="E8" s="2487" t="s">
        <v>88</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1962</v>
      </c>
      <c r="H9" s="1546" t="s">
        <v>1963</v>
      </c>
      <c r="I9" s="1546" t="s">
        <v>1964</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ООО "СамРЭК-Тепло Жигулевск"</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1965</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82</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1B0F-6737-935D-CABD-0.A3434F44}"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121</v>
      </c>
      <c r="E2" s="1913"/>
      <c r="F2" s="1915" t="str">
        <f>IF(ROIV_INFO_NAME="","",ROIV_INFO_NAME)</f>
        <v>ООО "СамРЭК-Тепло Жигулевск"</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83</v>
      </c>
      <c r="G3" s="1744" t="s">
        <v>84</v>
      </c>
      <c r="H3" s="1902"/>
      <c r="I3" s="1902"/>
      <c r="J3" s="1902"/>
      <c r="K3" s="1902"/>
      <c r="L3" s="236" t="s">
        <v>85</v>
      </c>
      <c r="M3" s="257" t="s">
        <v>83</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373</v>
      </c>
      <c r="F7" s="2111"/>
      <c r="G7" s="2111"/>
      <c r="H7" s="2111"/>
      <c r="I7" s="2111"/>
      <c r="J7" s="2111"/>
      <c r="K7" s="2111"/>
      <c r="L7" s="2483" t="s">
        <v>374</v>
      </c>
      <c r="M7" s="1633"/>
      <c r="N7" s="1633"/>
      <c r="O7" s="1633"/>
      <c r="P7" s="1633"/>
      <c r="Q7" s="1633"/>
      <c r="R7" s="1633"/>
      <c r="S7" s="234"/>
      <c r="T7" s="234"/>
      <c r="U7" s="234"/>
      <c r="V7" s="234"/>
      <c r="IW7" s="1618">
        <v>14</v>
      </c>
    </row>
    <row s="1828" customFormat="1" customHeight="1" ht="67.2">
      <c r="A8" s="1640"/>
      <c r="B8" s="1375"/>
      <c r="C8" s="1640"/>
      <c r="D8" s="1524"/>
      <c r="E8" s="2487" t="s">
        <v>88</v>
      </c>
      <c r="F8" s="2487" t="s">
        <v>1966</v>
      </c>
      <c r="G8" s="2489" t="s">
        <v>1967</v>
      </c>
      <c r="H8" s="2490"/>
      <c r="I8" s="2491"/>
      <c r="J8" s="2487" t="s">
        <v>1968</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1962</v>
      </c>
      <c r="H9" s="1903" t="s">
        <v>1963</v>
      </c>
      <c r="I9" s="1903" t="s">
        <v>1964</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ООО "СамРЭК-Тепло Жигулевск"</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1965</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82</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AC4CAA-89F6-6BAA-5D29-0.561ED314}"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121</v>
      </c>
      <c r="E2" s="2136">
        <v>1</v>
      </c>
      <c r="F2" s="2312" t="str">
        <f>IF(region_name="","",region_name)</f>
        <v>Самарская область</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1969</v>
      </c>
      <c r="L3" s="1552"/>
      <c r="M3" s="1929"/>
      <c r="N3" s="1922"/>
      <c r="O3" s="1544"/>
      <c r="P3" s="520"/>
      <c r="Q3" s="432">
        <v>0</v>
      </c>
    </row>
    <row s="1651" customFormat="1" customHeight="1" ht="5.25" hidden="1">
      <c r="A4" s="505"/>
      <c r="D4" s="503"/>
      <c r="F4" s="256" t="s">
        <v>83</v>
      </c>
      <c r="G4" s="503" t="s">
        <v>84</v>
      </c>
      <c r="H4" s="503"/>
      <c r="I4" s="1932"/>
      <c r="J4" s="1553"/>
      <c r="K4" s="1920"/>
      <c r="L4" s="1920"/>
      <c r="M4" s="1920"/>
      <c r="N4" s="1916"/>
      <c r="O4" s="256" t="s">
        <v>83</v>
      </c>
      <c r="P4" s="256"/>
      <c r="Q4" s="520">
        <v>0</v>
      </c>
    </row>
    <row s="1859" customFormat="1" customHeight="1" ht="22.5" hidden="1">
      <c r="A5" s="1650"/>
      <c r="B5" s="1375">
        <v>1</v>
      </c>
      <c r="C5" s="1375"/>
      <c r="D5" s="810"/>
      <c r="E5" s="1922"/>
      <c r="F5" s="1922"/>
      <c r="G5" s="1922"/>
      <c r="H5" s="1933"/>
      <c r="I5" s="1938" t="s">
        <v>121</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373</v>
      </c>
      <c r="F10" s="2136"/>
      <c r="G10" s="2136"/>
      <c r="H10" s="2136"/>
      <c r="I10" s="2136"/>
      <c r="J10" s="2136"/>
      <c r="K10" s="2136"/>
      <c r="L10" s="2136"/>
      <c r="M10" s="2110"/>
      <c r="N10" s="2487" t="s">
        <v>374</v>
      </c>
      <c r="O10" s="509"/>
      <c r="P10" s="509"/>
      <c r="Q10" s="516">
        <v>14</v>
      </c>
    </row>
    <row s="1828" customFormat="1" customHeight="1" ht="44.25">
      <c r="A11" s="1640"/>
      <c r="B11" s="1375"/>
      <c r="C11" s="1640"/>
      <c r="D11" s="1524"/>
      <c r="E11" s="2501" t="s">
        <v>88</v>
      </c>
      <c r="F11" s="2501" t="s">
        <v>377</v>
      </c>
      <c r="G11" s="2501" t="s">
        <v>1970</v>
      </c>
      <c r="H11" s="2501"/>
      <c r="I11" s="2501" t="s">
        <v>1971</v>
      </c>
      <c r="J11" s="2501"/>
      <c r="K11" s="2501"/>
      <c r="L11" s="2501" t="s">
        <v>1972</v>
      </c>
      <c r="M11" s="2489" t="s">
        <v>1973</v>
      </c>
      <c r="N11" s="2500"/>
      <c r="O11" s="1633"/>
      <c r="P11" s="1633"/>
      <c r="Q11" s="1618">
        <v>42</v>
      </c>
    </row>
    <row s="1828" customFormat="1" customHeight="1" ht="29.25">
      <c r="A12" s="1164"/>
      <c r="B12" s="1169"/>
      <c r="C12" s="1164"/>
      <c r="D12" s="1504"/>
      <c r="E12" s="2487"/>
      <c r="F12" s="2501"/>
      <c r="G12" s="1918" t="s">
        <v>1974</v>
      </c>
      <c r="H12" s="1918" t="s">
        <v>381</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Самарская область</v>
      </c>
      <c r="G13" s="2496"/>
      <c r="H13" s="2503"/>
      <c r="I13" s="483"/>
      <c r="J13" s="1914">
        <v>1</v>
      </c>
      <c r="K13" s="1927"/>
      <c r="L13" s="1928"/>
      <c r="M13" s="1928"/>
      <c r="N13" s="2497" t="s">
        <v>1975</v>
      </c>
      <c r="O13" s="1544"/>
      <c r="P13" s="520"/>
      <c r="Q13" s="432">
        <v>22</v>
      </c>
    </row>
    <row s="1859" customFormat="1" customHeight="1" ht="23.25">
      <c r="A14" s="2108"/>
      <c r="B14" s="1169"/>
      <c r="C14" s="1169"/>
      <c r="D14" s="810"/>
      <c r="E14" s="2136"/>
      <c r="F14" s="2495"/>
      <c r="G14" s="2496"/>
      <c r="H14" s="2504"/>
      <c r="I14" s="430"/>
      <c r="J14" s="1509"/>
      <c r="K14" s="1509" t="s">
        <v>1969</v>
      </c>
      <c r="L14" s="1552"/>
      <c r="M14" s="1552"/>
      <c r="N14" s="2498"/>
      <c r="O14" s="1544"/>
      <c r="P14" s="520"/>
      <c r="Q14" s="432">
        <v>22</v>
      </c>
    </row>
    <row s="1859" customFormat="1" customHeight="1" ht="23.25">
      <c r="A15" s="2108"/>
      <c r="B15" s="1169"/>
      <c r="C15" s="421"/>
      <c r="D15" s="810"/>
      <c r="E15" s="430"/>
      <c r="F15" s="1509" t="s">
        <v>1961</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82</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C7D13A-F73D-17CC-0221-0.BB2AB97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1976</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373</v>
      </c>
      <c r="E8" s="2218"/>
      <c r="F8" s="2218"/>
      <c r="G8" s="2218"/>
      <c r="H8" s="2218"/>
      <c r="I8" s="2218" t="s">
        <v>374</v>
      </c>
      <c r="M8" s="130">
        <v>14</v>
      </c>
    </row>
    <row customHeight="1" ht="29.25">
      <c r="D9" s="2218" t="s">
        <v>88</v>
      </c>
      <c r="E9" s="2218" t="s">
        <v>1977</v>
      </c>
      <c r="F9" s="2218"/>
      <c r="G9" s="2218"/>
      <c r="H9" s="2218"/>
      <c r="I9" s="2218"/>
      <c r="M9" s="130">
        <v>28</v>
      </c>
    </row>
    <row customHeight="1" ht="24">
      <c r="D10" s="2218"/>
      <c r="E10" s="136" t="s">
        <v>1978</v>
      </c>
      <c r="F10" s="136" t="s">
        <v>1979</v>
      </c>
      <c r="G10" s="136" t="s">
        <v>1980</v>
      </c>
      <c r="H10" s="136" t="s">
        <v>463</v>
      </c>
      <c r="I10" s="2218"/>
      <c r="M10" s="130">
        <v>23</v>
      </c>
    </row>
    <row customHeight="1" ht="12" hidden="1">
      <c r="D11" s="96" t="s">
        <v>109</v>
      </c>
      <c r="E11" s="96" t="s">
        <v>91</v>
      </c>
      <c r="F11" s="96" t="s">
        <v>111</v>
      </c>
      <c r="G11" s="96" t="s">
        <v>92</v>
      </c>
      <c r="H11" s="96" t="s">
        <v>93</v>
      </c>
      <c r="I11" s="96" t="s">
        <v>112</v>
      </c>
      <c r="M11" s="130">
        <v>0</v>
      </c>
    </row>
    <row s="1832" customFormat="1" customHeight="1" ht="26.25">
      <c r="A12" s="154" t="s">
        <v>90</v>
      </c>
      <c r="B12" s="134" t="s">
        <v>22</v>
      </c>
      <c r="C12" s="135"/>
      <c r="D12" s="137" t="s">
        <v>109</v>
      </c>
      <c r="E12" s="390"/>
      <c r="F12" s="390"/>
      <c r="G12" s="1743" t="s">
        <v>22</v>
      </c>
      <c r="H12" s="391"/>
      <c r="I12" s="2178" t="s">
        <v>1981</v>
      </c>
      <c r="K12" s="281"/>
      <c r="L12" s="282"/>
      <c r="M12" s="126">
        <v>25</v>
      </c>
    </row>
    <row customHeight="1" ht="15.75">
      <c r="A13" s="130"/>
      <c r="B13" s="130"/>
      <c r="C13" s="130"/>
      <c r="D13" s="118"/>
      <c r="E13" s="139" t="s">
        <v>541</v>
      </c>
      <c r="F13" s="138"/>
      <c r="G13" s="138"/>
      <c r="H13" s="223"/>
      <c r="I13" s="2180"/>
      <c r="M13" s="130">
        <v>15</v>
      </c>
    </row>
    <row customHeight="1" ht="3">
      <c r="A14" s="130"/>
      <c r="B14" s="130"/>
      <c r="C14" s="130"/>
      <c r="M14" s="130">
        <v>3</v>
      </c>
    </row>
    <row customHeight="1" ht="29.25">
      <c r="E15" s="2505" t="s">
        <v>1982</v>
      </c>
      <c r="F15" s="2505"/>
      <c r="G15" s="2505"/>
      <c r="H15" s="2505"/>
      <c r="M15" s="130">
        <v>28</v>
      </c>
    </row>
    <row customHeight="1" ht="14.25" hidden="1">
      <c r="A16" s="127" t="s">
        <v>82</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A71D3-10AB-8727-33B2-0.B1B123}"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1983</v>
      </c>
      <c r="E7" s="2507"/>
      <c r="F7" s="276"/>
      <c r="J7" s="78">
        <v>22</v>
      </c>
    </row>
    <row customHeight="1" ht="3">
      <c r="C8" s="101"/>
      <c r="D8" s="79"/>
      <c r="E8" s="79"/>
      <c r="J8" s="78">
        <v>3</v>
      </c>
    </row>
    <row customHeight="1" ht="16.8">
      <c r="C9" s="101"/>
      <c r="D9" s="114" t="s">
        <v>88</v>
      </c>
      <c r="E9" s="269" t="s">
        <v>1984</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1985</v>
      </c>
      <c r="J13" s="78">
        <v>12</v>
      </c>
    </row>
    <row customHeight="1" ht="3">
      <c r="J14" s="78">
        <v>3</v>
      </c>
    </row>
    <row customHeight="1" ht="23.25">
      <c r="C15" s="146"/>
      <c r="D15" s="2508" t="s">
        <v>1986</v>
      </c>
      <c r="E15" s="2508"/>
      <c r="F15" s="147"/>
      <c r="G15" s="147"/>
      <c r="H15" s="147"/>
      <c r="I15" s="147"/>
      <c r="J15" s="78">
        <v>22</v>
      </c>
    </row>
    <row customHeight="1" ht="14.25" hidden="1">
      <c r="A16" s="78" t="s">
        <v>82</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769498-1AEF-BC44-CCD7-0.E632E452}" mc:Ignorable="x14ac xr xr2 xr3">
  <sheetPr>
    <tabColor rgb="FFCCCCFF"/>
    <pageSetUpPr fitToPage="1"/>
  </sheetPr>
  <dimension ref="A1:M14"/>
  <sheetViews>
    <sheetView topLeftCell="A1" showGridLines="0" zoomScale="90" workbookViewId="0">
      <selection activeCell="E12" sqref="E12"/>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1987</v>
      </c>
      <c r="E7" s="2109"/>
      <c r="F7" s="276"/>
      <c r="M7" s="78">
        <v>22</v>
      </c>
    </row>
    <row customHeight="1" ht="3">
      <c r="C8" s="101"/>
      <c r="D8" s="79"/>
      <c r="E8" s="79"/>
      <c r="M8" s="78">
        <v>3</v>
      </c>
    </row>
    <row customHeight="1" ht="16.8">
      <c r="C9" s="101"/>
      <c r="D9" s="114" t="s">
        <v>88</v>
      </c>
      <c r="E9" s="117" t="s">
        <v>360</v>
      </c>
      <c r="M9" s="78">
        <v>16</v>
      </c>
    </row>
    <row customHeight="1" ht="12.75">
      <c r="C10" s="101"/>
      <c r="D10" s="96" t="s">
        <v>109</v>
      </c>
      <c r="E10" s="96" t="s">
        <v>110</v>
      </c>
      <c r="M10" s="78">
        <v>12</v>
      </c>
    </row>
    <row customHeight="1" ht="15" hidden="1">
      <c r="C11" s="101"/>
      <c r="D11" s="122">
        <v>0</v>
      </c>
      <c r="E11" s="158"/>
      <c r="M11" s="78">
        <v>0</v>
      </c>
    </row>
    <row customHeight="1" ht="45.75">
      <c r="A12" s="273"/>
      <c r="B12" s="273"/>
      <c r="C12" s="1826" t="s">
        <v>121</v>
      </c>
      <c r="D12" s="122" t="s">
        <v>109</v>
      </c>
      <c r="E12" s="123" t="s">
        <v>1988</v>
      </c>
      <c r="F12" s="273"/>
      <c r="G12" s="273"/>
      <c r="H12" s="273"/>
      <c r="I12" s="273"/>
      <c r="J12" s="273"/>
      <c r="K12" s="273"/>
      <c r="L12" s="273"/>
      <c r="M12" s="273"/>
    </row>
    <row customHeight="1" ht="14.699999999999998">
      <c r="C13" s="101"/>
      <c r="D13" s="118"/>
      <c r="E13" s="116" t="s">
        <v>1985</v>
      </c>
      <c r="M13" s="78">
        <v>14</v>
      </c>
    </row>
    <row customHeight="1" ht="14.25" hidden="1">
      <c r="A14" s="78" t="s">
        <v>82</v>
      </c>
      <c r="B14" s="78">
        <v>0</v>
      </c>
      <c r="C14" s="100">
        <v>3</v>
      </c>
      <c r="D14" s="78">
        <v>6</v>
      </c>
      <c r="E14" s="78">
        <v>94</v>
      </c>
      <c r="F14" s="78">
        <v>8</v>
      </c>
      <c r="G14" s="78">
        <v>8</v>
      </c>
      <c r="H14" s="78">
        <v>8</v>
      </c>
      <c r="I14" s="78">
        <v>8</v>
      </c>
      <c r="J14" s="78">
        <v>8</v>
      </c>
      <c r="K14" s="78">
        <v>8</v>
      </c>
      <c r="L14" s="78">
        <v>8</v>
      </c>
      <c r="M14" s="78">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813446-8EE4-BB86-13C5-0.0919877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352</v>
      </c>
      <c r="M2" s="1562" t="s">
        <v>353</v>
      </c>
      <c r="R2" s="1562" t="s">
        <v>354</v>
      </c>
      <c r="S2" s="1562" t="s">
        <v>353</v>
      </c>
      <c r="X2" s="1562" t="s">
        <v>352</v>
      </c>
      <c r="Y2" s="1562" t="s">
        <v>353</v>
      </c>
      <c r="AD2" s="1562" t="s">
        <v>352</v>
      </c>
      <c r="AE2" s="1562" t="s">
        <v>353</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355</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ООО "СамРЭК-Тепло Жигулевск"</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88</v>
      </c>
      <c r="E8" s="2136" t="s">
        <v>105</v>
      </c>
      <c r="F8" s="2201" t="s">
        <v>203</v>
      </c>
      <c r="G8" s="2202"/>
      <c r="H8" s="2201" t="s">
        <v>88</v>
      </c>
      <c r="I8" s="2202"/>
      <c r="J8" s="2136" t="s">
        <v>204</v>
      </c>
      <c r="K8" s="1565"/>
      <c r="L8" s="2205" t="s">
        <v>356</v>
      </c>
      <c r="M8" s="2205"/>
      <c r="N8" s="2205"/>
      <c r="O8" s="2205"/>
      <c r="P8" s="2205"/>
      <c r="Q8" s="1566"/>
      <c r="R8" s="2105" t="s">
        <v>357</v>
      </c>
      <c r="S8" s="2206"/>
      <c r="T8" s="2206"/>
      <c r="U8" s="2206"/>
      <c r="V8" s="2206"/>
      <c r="W8" s="1566"/>
      <c r="X8" s="2207" t="s">
        <v>358</v>
      </c>
      <c r="Y8" s="2207"/>
      <c r="Z8" s="2207"/>
      <c r="AA8" s="2207"/>
      <c r="AB8" s="2207"/>
      <c r="AC8" s="1567"/>
      <c r="AD8" s="2136" t="s">
        <v>359</v>
      </c>
      <c r="AE8" s="2136"/>
      <c r="AF8" s="2136"/>
      <c r="AG8" s="2136"/>
      <c r="AH8" s="2110"/>
      <c r="AI8" s="2136" t="s">
        <v>360</v>
      </c>
      <c r="AJ8" s="1583"/>
      <c r="BM8" s="302">
        <v>32</v>
      </c>
    </row>
    <row customHeight="1" ht="23.25">
      <c r="D9" s="2136"/>
      <c r="E9" s="2136"/>
      <c r="F9" s="2184" t="s">
        <v>89</v>
      </c>
      <c r="G9" s="2184" t="s">
        <v>209</v>
      </c>
      <c r="H9" s="2203"/>
      <c r="I9" s="2204"/>
      <c r="J9" s="2110"/>
      <c r="K9" s="1568"/>
      <c r="L9" s="2136" t="s">
        <v>361</v>
      </c>
      <c r="M9" s="2110"/>
      <c r="N9" s="2201" t="s">
        <v>88</v>
      </c>
      <c r="O9" s="2202"/>
      <c r="P9" s="2136" t="s">
        <v>210</v>
      </c>
      <c r="Q9" s="1565"/>
      <c r="R9" s="2136" t="s">
        <v>361</v>
      </c>
      <c r="S9" s="2110"/>
      <c r="T9" s="2201" t="s">
        <v>88</v>
      </c>
      <c r="U9" s="2202"/>
      <c r="V9" s="2136" t="s">
        <v>210</v>
      </c>
      <c r="W9" s="1565"/>
      <c r="X9" s="2136" t="s">
        <v>361</v>
      </c>
      <c r="Y9" s="2110"/>
      <c r="Z9" s="2201" t="s">
        <v>88</v>
      </c>
      <c r="AA9" s="2202"/>
      <c r="AB9" s="2136" t="s">
        <v>362</v>
      </c>
      <c r="AC9" s="1565"/>
      <c r="AD9" s="2136" t="s">
        <v>361</v>
      </c>
      <c r="AE9" s="2110"/>
      <c r="AF9" s="2201" t="s">
        <v>88</v>
      </c>
      <c r="AG9" s="2202"/>
      <c r="AH9" s="2110" t="s">
        <v>362</v>
      </c>
      <c r="AI9" s="2136"/>
      <c r="AJ9" s="1583"/>
      <c r="BM9" s="302">
        <v>22</v>
      </c>
    </row>
    <row customHeight="1" ht="24">
      <c r="D10" s="2184"/>
      <c r="E10" s="2184"/>
      <c r="F10" s="2208"/>
      <c r="G10" s="2208"/>
      <c r="H10" s="2209"/>
      <c r="I10" s="2210"/>
      <c r="J10" s="2201"/>
      <c r="K10" s="1568"/>
      <c r="L10" s="1587" t="s">
        <v>363</v>
      </c>
      <c r="M10" s="1582" t="s">
        <v>364</v>
      </c>
      <c r="N10" s="2203"/>
      <c r="O10" s="2204"/>
      <c r="P10" s="2184"/>
      <c r="Q10" s="1565"/>
      <c r="R10" s="1587" t="s">
        <v>363</v>
      </c>
      <c r="S10" s="1582" t="s">
        <v>364</v>
      </c>
      <c r="T10" s="2203"/>
      <c r="U10" s="2204"/>
      <c r="V10" s="2184"/>
      <c r="W10" s="1565"/>
      <c r="X10" s="1587" t="s">
        <v>363</v>
      </c>
      <c r="Y10" s="1582" t="s">
        <v>364</v>
      </c>
      <c r="Z10" s="2203"/>
      <c r="AA10" s="2204"/>
      <c r="AB10" s="2184"/>
      <c r="AC10" s="1565"/>
      <c r="AD10" s="1587" t="s">
        <v>363</v>
      </c>
      <c r="AE10" s="1582" t="s">
        <v>364</v>
      </c>
      <c r="AF10" s="2203"/>
      <c r="AG10" s="2204"/>
      <c r="AH10" s="2201"/>
      <c r="AI10" s="2184"/>
      <c r="AJ10" s="1583"/>
      <c r="AK10" s="263" t="s">
        <v>365</v>
      </c>
      <c r="AL10" s="263" t="s">
        <v>211</v>
      </c>
      <c r="BM10" s="302">
        <v>23</v>
      </c>
    </row>
    <row customHeight="1" ht="15">
      <c r="D11" s="2192" t="s">
        <v>109</v>
      </c>
      <c r="E11" s="2188" t="s">
        <v>366</v>
      </c>
      <c r="F11" s="2188" t="s">
        <v>367</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110</v>
      </c>
      <c r="E17" s="2188" t="s">
        <v>366</v>
      </c>
      <c r="F17" s="2188" t="s">
        <v>368</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90</v>
      </c>
      <c r="E23" s="2188" t="s">
        <v>366</v>
      </c>
      <c r="F23" s="2188" t="s">
        <v>369</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98</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91</v>
      </c>
      <c r="E29" s="2188" t="s">
        <v>366</v>
      </c>
      <c r="F29" s="2188" t="s">
        <v>370</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111</v>
      </c>
      <c r="E35" s="2188" t="s">
        <v>366</v>
      </c>
      <c r="F35" s="2188" t="s">
        <v>371</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82</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E0188-F5A5-8907-0DC4-0.47D3D70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1989</v>
      </c>
      <c r="C2" s="2509"/>
      <c r="D2" s="2509"/>
      <c r="E2" s="277"/>
      <c r="F2" s="98">
        <v>22</v>
      </c>
    </row>
    <row customHeight="1" ht="3">
      <c r="F3" s="98">
        <v>3</v>
      </c>
    </row>
    <row customHeight="1" ht="23.25">
      <c r="B4" s="2623" t="s">
        <v>1990</v>
      </c>
      <c r="C4" s="392" t="s">
        <v>1991</v>
      </c>
      <c r="D4" s="392" t="s">
        <v>1992</v>
      </c>
      <c r="F4" s="98">
        <v>22</v>
      </c>
    </row>
    <row customHeight="1" ht="11.25" hidden="1">
      <c r="A5" s="98" t="s">
        <v>82</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F7D662-233E-604F-31EF-0.FBF44C7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1993</v>
      </c>
    </row>
    <row r="4" s="273" customFormat="1" customHeight="1" ht="15">
      <c r="C4" s="1825"/>
      <c r="D4" s="122"/>
      <c r="E4" s="386"/>
    </row>
    <row r="6" s="1824" customFormat="1" customHeight="1" ht="17.25">
      <c r="A6" s="1824" t="s">
        <v>1994</v>
      </c>
    </row>
    <row r="8" s="273" customFormat="1" customHeight="1" ht="17.25">
      <c r="C8" s="1826"/>
      <c r="D8" s="122"/>
      <c r="E8" s="123"/>
    </row>
    <row r="11" s="1824" customFormat="1" customHeight="1" ht="17.25">
      <c r="A11" s="1824" t="s">
        <v>1995</v>
      </c>
    </row>
    <row r="13" s="1828" customFormat="1" customHeight="1" ht="15">
      <c r="A13" s="2226">
        <v>1</v>
      </c>
      <c r="B13" s="1169"/>
      <c r="C13" s="810" t="s">
        <v>121</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102</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1996</v>
      </c>
    </row>
    <row r="19" s="1859" customFormat="1" customHeight="1" ht="15">
      <c r="A19" s="1891"/>
      <c r="B19" s="1375">
        <v>1</v>
      </c>
      <c r="C19" s="1375"/>
      <c r="D19" s="809" t="s">
        <v>121</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1997</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121</v>
      </c>
      <c r="D23" s="2117" t="s">
        <v>109</v>
      </c>
      <c r="E23" s="2118"/>
      <c r="F23" s="2116" t="s">
        <v>19</v>
      </c>
      <c r="G23" s="2566"/>
      <c r="H23" s="2136">
        <v>1</v>
      </c>
      <c r="I23" s="2568" t="str">
        <f>IF(U23="","",INDEX(TERRITORY_MR_LIST,MATCH(U23,TERRITORY_LIST_ID,0)))</f>
        <v/>
      </c>
      <c r="J23" s="2116" t="s">
        <v>19</v>
      </c>
      <c r="K23" s="841"/>
      <c r="L23" s="1791" t="s">
        <v>109</v>
      </c>
      <c r="M23" s="612"/>
      <c r="N23" s="613"/>
      <c r="O23" s="613"/>
      <c r="P23" s="613"/>
      <c r="Q23" s="613"/>
      <c r="R23" s="613"/>
      <c r="S23" s="613"/>
      <c r="T23" s="613"/>
      <c r="U23" s="614"/>
      <c r="V23" s="613"/>
      <c r="W23" s="613"/>
      <c r="X23" s="604"/>
      <c r="Y23" s="604" t="s">
        <v>120</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196</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197</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1998</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121</v>
      </c>
      <c r="H29" s="2112">
        <v>1</v>
      </c>
      <c r="I29" s="2571" t="str">
        <f>IF(U29="","",INDEX(TERRITORY_MR_LIST,MATCH(U29,TERRITORY_LIST_ID,0)))</f>
        <v/>
      </c>
      <c r="J29" s="2116" t="s">
        <v>19</v>
      </c>
      <c r="K29" s="841"/>
      <c r="L29" s="1791" t="s">
        <v>109</v>
      </c>
      <c r="M29" s="612"/>
      <c r="N29" s="613"/>
      <c r="O29" s="613"/>
      <c r="P29" s="613"/>
      <c r="Q29" s="613"/>
      <c r="R29" s="613"/>
      <c r="S29" s="613"/>
      <c r="T29" s="613"/>
      <c r="U29" s="614"/>
      <c r="V29" s="613"/>
      <c r="W29" s="613"/>
      <c r="X29" s="604"/>
      <c r="Y29" s="604" t="s">
        <v>120</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196</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1999</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121</v>
      </c>
      <c r="L34" s="1738" t="s">
        <v>109</v>
      </c>
      <c r="M34" s="820"/>
      <c r="N34" s="821"/>
      <c r="O34" s="613"/>
      <c r="P34" s="613"/>
      <c r="Q34" s="613"/>
      <c r="R34" s="613"/>
      <c r="S34" s="613"/>
      <c r="T34" s="613"/>
      <c r="U34" s="614"/>
      <c r="V34" s="613"/>
      <c r="W34" s="613"/>
      <c r="X34" s="604"/>
      <c r="Y34" s="604" t="s">
        <v>120</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2000</v>
      </c>
    </row>
    <row customHeight="1" ht="11.25"/>
    <row s="464" customFormat="1" customHeight="1" ht="22.5">
      <c r="A39" s="1800"/>
      <c r="B39" s="466"/>
      <c r="C39" s="868"/>
      <c r="D39" s="449"/>
      <c r="E39" s="869"/>
      <c r="F39" s="1821"/>
      <c r="G39" s="1831"/>
      <c r="H39" s="484"/>
    </row>
    <row customHeight="1" ht="11.25"/>
    <row s="1824" customFormat="1" customHeight="1" ht="11.25">
      <c r="A41" s="1824" t="s">
        <v>2001</v>
      </c>
    </row>
    <row customHeight="1" ht="11.25"/>
    <row s="464" customFormat="1" customHeight="1" ht="22.5">
      <c r="A43" s="466"/>
      <c r="B43" s="466"/>
      <c r="C43" s="466"/>
      <c r="D43" s="449"/>
      <c r="E43" s="869"/>
      <c r="F43" s="870"/>
      <c r="G43" s="1831"/>
      <c r="H43" s="484"/>
    </row>
    <row customHeight="1" ht="11.25"/>
    <row s="1824" customFormat="1" customHeight="1" ht="11.25">
      <c r="A45" s="1824" t="s">
        <v>2002</v>
      </c>
    </row>
    <row customHeight="1" ht="11.25"/>
    <row s="464" customFormat="1" customHeight="1" ht="24">
      <c r="A47" s="2211" t="s">
        <v>386</v>
      </c>
      <c r="B47" s="511"/>
      <c r="C47" s="2222"/>
      <c r="D47" s="454" t="str">
        <f>A47</f>
        <v>5.1</v>
      </c>
      <c r="E47" s="451" t="s">
        <v>387</v>
      </c>
      <c r="F47" s="1985" t="s">
        <v>379</v>
      </c>
      <c r="G47" s="453" t="s">
        <v>388</v>
      </c>
      <c r="H47" s="484"/>
      <c r="I47" s="861"/>
    </row>
    <row s="464" customFormat="1" customHeight="1" ht="22.5">
      <c r="A48" s="2211"/>
      <c r="B48" s="511"/>
      <c r="C48" s="2222"/>
      <c r="D48" s="449" t="str">
        <f>D47&amp;".1"</f>
        <v>5.1.1</v>
      </c>
      <c r="E48" s="448" t="s">
        <v>389</v>
      </c>
      <c r="F48" s="1986" t="s">
        <v>22</v>
      </c>
      <c r="G48" s="483"/>
      <c r="H48" s="484"/>
      <c r="I48" s="861"/>
    </row>
    <row s="464" customFormat="1" customHeight="1" ht="22.5">
      <c r="A49" s="2211"/>
      <c r="B49" s="511"/>
      <c r="C49" s="2222"/>
      <c r="D49" s="449" t="str">
        <f>D47&amp;".2"</f>
        <v>5.1.2</v>
      </c>
      <c r="E49" s="448" t="s">
        <v>390</v>
      </c>
      <c r="F49" s="1741" t="s">
        <v>22</v>
      </c>
      <c r="G49" s="453" t="s">
        <v>391</v>
      </c>
      <c r="H49" s="484"/>
      <c r="I49" s="861"/>
    </row>
    <row s="464" customFormat="1" customHeight="1" ht="22.5">
      <c r="A50" s="2211"/>
      <c r="B50" s="511"/>
      <c r="C50" s="2222"/>
      <c r="D50" s="449" t="str">
        <f>D47&amp;".3"</f>
        <v>5.1.3</v>
      </c>
      <c r="E50" s="448" t="s">
        <v>392</v>
      </c>
      <c r="F50" s="1986" t="s">
        <v>22</v>
      </c>
      <c r="G50" s="483"/>
      <c r="H50" s="484"/>
      <c r="I50" s="861"/>
    </row>
    <row s="464" customFormat="1" customHeight="1" ht="22.5">
      <c r="A51" s="2211"/>
      <c r="B51" s="511"/>
      <c r="C51" s="2222"/>
      <c r="D51" s="449" t="str">
        <f>D47&amp;".4"</f>
        <v>5.1.4</v>
      </c>
      <c r="E51" s="448" t="s">
        <v>393</v>
      </c>
      <c r="F51" s="1986" t="s">
        <v>22</v>
      </c>
      <c r="G51" s="453" t="s">
        <v>394</v>
      </c>
      <c r="H51" s="484"/>
      <c r="I51" s="861"/>
    </row>
    <row r="54" s="1824" customFormat="1" customHeight="1" ht="17.25">
      <c r="A54" s="1824" t="s">
        <v>2003</v>
      </c>
    </row>
    <row r="56" s="1621" customFormat="1" customHeight="1" ht="18.75">
      <c r="A56" s="98"/>
      <c r="B56" s="1832"/>
      <c r="C56" s="1832"/>
      <c r="D56" s="1833"/>
      <c r="E56" s="1818"/>
      <c r="F56" s="877">
        <v>13</v>
      </c>
      <c r="G56" s="876"/>
      <c r="H56" s="802"/>
      <c r="I56" s="800"/>
      <c r="J56" s="529" t="s">
        <v>66</v>
      </c>
      <c r="K56" s="1834" t="s">
        <v>22</v>
      </c>
      <c r="L56" s="98"/>
      <c r="M56" s="1645"/>
      <c r="N56" s="1645"/>
      <c r="O56" s="1645"/>
      <c r="P56" s="525" t="s">
        <v>465</v>
      </c>
      <c r="Q56" s="525" t="s">
        <v>466</v>
      </c>
      <c r="R56" s="526" t="s">
        <v>467</v>
      </c>
      <c r="S56" s="1645" t="s">
        <v>468</v>
      </c>
      <c r="T56" s="1645"/>
      <c r="U56" s="1645"/>
      <c r="V56" s="1645"/>
    </row>
    <row r="58" s="1824" customFormat="1" customHeight="1" ht="11.25">
      <c r="A58" s="1824" t="s">
        <v>2004</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454</v>
      </c>
      <c r="AQ60" s="1633" t="s">
        <v>454</v>
      </c>
      <c r="AR60" s="1645"/>
      <c r="AS60" s="1645"/>
    </row>
    <row r="62" s="1824" customFormat="1" customHeight="1" ht="11.25">
      <c r="A62" s="1824" t="s">
        <v>2005</v>
      </c>
    </row>
    <row r="64" s="1832" customFormat="1" customHeight="1" ht="15">
      <c r="A64" s="154" t="s">
        <v>90</v>
      </c>
      <c r="B64" s="134" t="s">
        <v>22</v>
      </c>
      <c r="C64" s="1835"/>
      <c r="D64" s="137"/>
      <c r="E64" s="390"/>
      <c r="F64" s="390"/>
      <c r="G64" s="1812"/>
      <c r="H64" s="1834"/>
      <c r="I64" s="1813"/>
      <c r="K64" s="281"/>
      <c r="L64" s="282"/>
    </row>
    <row r="66" s="1824" customFormat="1" customHeight="1" ht="11.25">
      <c r="A66" s="1824" t="s">
        <v>2006</v>
      </c>
    </row>
    <row r="68" s="1644" customFormat="1" customHeight="1" ht="14.25">
      <c r="A68" s="352"/>
      <c r="B68" s="1169"/>
      <c r="C68" s="385"/>
      <c r="D68" s="1819"/>
      <c r="E68" s="895"/>
      <c r="F68" s="1834"/>
      <c r="G68" s="98"/>
      <c r="I68" s="1633"/>
      <c r="J68" s="1633"/>
    </row>
    <row r="70" s="1824" customFormat="1" customHeight="1" ht="11.25">
      <c r="A70" s="1824" t="s">
        <v>2007</v>
      </c>
    </row>
    <row r="72" s="1644" customFormat="1" customHeight="1" ht="27">
      <c r="A72" s="1175"/>
      <c r="B72" s="1175"/>
      <c r="C72" s="1175"/>
      <c r="D72" s="1169"/>
      <c r="E72" s="1836"/>
      <c r="F72" s="2590"/>
      <c r="G72" s="2591"/>
      <c r="H72" s="2592" t="s">
        <v>66</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66</v>
      </c>
      <c r="Z72" s="1817"/>
      <c r="AA72" s="1801">
        <v>1</v>
      </c>
      <c r="AB72" s="1251"/>
      <c r="AD72" s="1645" t="s">
        <v>2008</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2009</v>
      </c>
    </row>
    <row r="75" s="1824" customFormat="1" customHeight="1" ht="11.25">
      <c r="A75" s="1824" t="s">
        <v>2010</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2008</v>
      </c>
    </row>
    <row r="79" s="1824" customFormat="1" customHeight="1" ht="11.25">
      <c r="A79" s="1824" t="s">
        <v>2011</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449</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2012</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2013</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2014</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2015</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2016</v>
      </c>
    </row>
    <row r="101" s="1644" customFormat="1" customHeight="1" ht="11.25">
      <c r="A101" s="1175"/>
      <c r="B101" s="1175"/>
      <c r="C101" s="1175"/>
      <c r="D101" s="1169"/>
      <c r="E101" s="1179"/>
      <c r="F101" s="1838"/>
      <c r="G101" s="1839"/>
      <c r="H101" s="2524" t="s">
        <v>109</v>
      </c>
      <c r="I101" s="2525"/>
      <c r="J101" s="2494"/>
      <c r="K101" s="2526"/>
      <c r="L101" s="2116" t="s">
        <v>19</v>
      </c>
      <c r="M101" s="2117"/>
      <c r="N101" s="1995"/>
      <c r="O101" s="1186" t="s">
        <v>449</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2014</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2017</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2018</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2019</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2020</v>
      </c>
    </row>
    <row r="115" s="1859" customFormat="1" customHeight="1" ht="15">
      <c r="A115" s="632"/>
      <c r="B115" s="633"/>
      <c r="C115" s="633"/>
      <c r="D115" s="2587" t="s">
        <v>109</v>
      </c>
      <c r="E115" s="2386" t="s">
        <v>105</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682</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637</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638</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683</v>
      </c>
      <c r="F118" s="2385"/>
      <c r="G118" s="2385"/>
      <c r="H118" s="2385"/>
      <c r="I118" s="2385"/>
      <c r="J118" s="2385"/>
      <c r="K118" s="2385"/>
      <c r="L118" s="2385"/>
      <c r="M118" s="2385"/>
      <c r="N118" s="2385"/>
      <c r="O118" s="2385"/>
      <c r="P118" s="2385"/>
      <c r="Q118" s="567">
        <f>SUMIF(T119:T120,"i",Q119:Q120)</f>
        <v>0</v>
      </c>
      <c r="R118" s="1026"/>
      <c r="S118" s="1807" t="s">
        <v>684</v>
      </c>
      <c r="T118" s="726" t="s">
        <v>685</v>
      </c>
      <c r="U118" s="2383">
        <v>1</v>
      </c>
      <c r="V118" s="2383" t="s">
        <v>648</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688</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686</v>
      </c>
      <c r="F121" s="2385"/>
      <c r="G121" s="2385"/>
      <c r="H121" s="2385"/>
      <c r="I121" s="2385"/>
      <c r="J121" s="2385"/>
      <c r="K121" s="2385"/>
      <c r="L121" s="2385"/>
      <c r="M121" s="2385"/>
      <c r="N121" s="2385"/>
      <c r="O121" s="2385"/>
      <c r="P121" s="2385"/>
      <c r="Q121" s="567">
        <f>SUMIF(T122:T123,"i",Q122:Q123)</f>
        <v>0</v>
      </c>
      <c r="R121" s="1026"/>
      <c r="S121" s="1807" t="s">
        <v>687</v>
      </c>
      <c r="T121" s="726" t="s">
        <v>685</v>
      </c>
      <c r="U121" s="2383">
        <v>1</v>
      </c>
      <c r="V121" s="2383" t="s">
        <v>648</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688</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2021</v>
      </c>
    </row>
    <row r="127" s="1859" customFormat="1" customHeight="1" ht="15" hidden="1">
      <c r="A127" s="632"/>
      <c r="B127" s="633"/>
      <c r="C127" s="633"/>
      <c r="D127" s="2587" t="s">
        <v>109</v>
      </c>
      <c r="E127" s="2386" t="s">
        <v>105</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682</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hidden="1">
      <c r="A128" s="632"/>
      <c r="B128" s="633"/>
      <c r="C128" s="633"/>
      <c r="D128" s="2588"/>
      <c r="E128" s="2386" t="s">
        <v>637</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hidden="1">
      <c r="A129" s="632"/>
      <c r="B129" s="633"/>
      <c r="C129" s="633"/>
      <c r="D129" s="2588"/>
      <c r="E129" s="2386" t="s">
        <v>638</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hidden="1">
      <c r="A130" s="1815"/>
      <c r="B130" s="1169"/>
      <c r="C130" s="421"/>
      <c r="D130" s="2588"/>
      <c r="E130" s="2385" t="s">
        <v>683</v>
      </c>
      <c r="F130" s="2385"/>
      <c r="G130" s="2385"/>
      <c r="H130" s="2385"/>
      <c r="I130" s="2385"/>
      <c r="J130" s="2385"/>
      <c r="K130" s="2385"/>
      <c r="L130" s="2385"/>
      <c r="M130" s="2385"/>
      <c r="N130" s="2385"/>
      <c r="O130" s="2385"/>
      <c r="P130" s="2385"/>
      <c r="Q130" s="567">
        <f>SUMIF(T131:T132,"i",Q131:Q132)</f>
        <v>0</v>
      </c>
      <c r="R130" s="1026"/>
      <c r="S130" s="1807" t="s">
        <v>684</v>
      </c>
      <c r="T130" s="726" t="s">
        <v>685</v>
      </c>
      <c r="U130" s="2383">
        <v>1</v>
      </c>
      <c r="V130" s="2383" t="s">
        <v>648</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hidden="1">
      <c r="A132" s="1815"/>
      <c r="B132" s="1169"/>
      <c r="C132" s="421"/>
      <c r="D132" s="2588"/>
      <c r="E132" s="658" t="s">
        <v>22</v>
      </c>
      <c r="F132" s="1177" t="s">
        <v>22</v>
      </c>
      <c r="G132" s="1177" t="s">
        <v>688</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685</v>
      </c>
      <c r="U133" s="2383">
        <v>1</v>
      </c>
      <c r="V133" s="2383" t="s">
        <v>648</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2022</v>
      </c>
    </row>
    <row r="139" s="1859" customFormat="1" customHeight="1" ht="45">
      <c r="A139" s="1815"/>
      <c r="B139" s="1169"/>
      <c r="C139" s="421"/>
      <c r="D139" s="98"/>
      <c r="E139" s="2581"/>
      <c r="F139" s="2117" t="s">
        <v>109</v>
      </c>
      <c r="G139" s="2584" t="s">
        <v>22</v>
      </c>
      <c r="H139" s="298"/>
      <c r="I139" s="646" t="s">
        <v>109</v>
      </c>
      <c r="J139" s="1816" t="s">
        <v>2023</v>
      </c>
      <c r="K139" s="647" t="s">
        <v>619</v>
      </c>
      <c r="L139" s="2233" t="s">
        <v>619</v>
      </c>
      <c r="M139" s="2586"/>
      <c r="N139" s="647" t="s">
        <v>619</v>
      </c>
      <c r="O139" s="647" t="s">
        <v>619</v>
      </c>
      <c r="P139" s="647" t="s">
        <v>619</v>
      </c>
      <c r="Q139" s="648">
        <f>SUM(Q140:Q142)</f>
        <v>0</v>
      </c>
      <c r="R139" s="648">
        <f>IF(R136=0,0,(Q136/R136)*100)</f>
        <v>0</v>
      </c>
      <c r="S139" s="2188"/>
      <c r="T139" s="726" t="s">
        <v>685</v>
      </c>
      <c r="U139" s="98"/>
      <c r="V139" s="98"/>
      <c r="AC139" s="98"/>
    </row>
    <row s="1859" customFormat="1" customHeight="1" ht="11.25">
      <c r="A140" s="1815"/>
      <c r="B140" s="1169"/>
      <c r="C140" s="421"/>
      <c r="D140" s="98"/>
      <c r="E140" s="2582"/>
      <c r="F140" s="2117"/>
      <c r="G140" s="2584"/>
      <c r="H140" s="2136"/>
      <c r="I140" s="2524" t="s">
        <v>1124</v>
      </c>
      <c r="J140" s="2578"/>
      <c r="K140" s="2579"/>
      <c r="L140" s="649"/>
      <c r="M140" s="650" t="s">
        <v>109</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2024</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2025</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1124</v>
      </c>
      <c r="J147" s="2578"/>
      <c r="K147" s="2579"/>
      <c r="L147" s="649"/>
      <c r="M147" s="650" t="s">
        <v>109</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2024</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109</v>
      </c>
      <c r="N150" s="1804"/>
      <c r="O150" s="651"/>
      <c r="P150" s="652"/>
      <c r="Q150" s="651"/>
      <c r="R150" s="653">
        <v>0</v>
      </c>
      <c r="S150" s="98"/>
      <c r="T150" s="726"/>
      <c r="U150" s="98"/>
      <c r="V150" s="98"/>
      <c r="AC150" s="98"/>
    </row>
    <row r="152" s="1824" customFormat="1" customHeight="1" ht="17.25">
      <c r="A152" s="1824" t="s">
        <v>2026</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66</v>
      </c>
      <c r="L154" s="2117"/>
      <c r="M154" s="2117" t="s">
        <v>109</v>
      </c>
      <c r="N154" s="2513" t="str">
        <f>IF(Z154="","",INDEX(TERRITORY_MR_LIST,MATCH(Z154,TERRITORY_LIST_ID,0)))</f>
        <v/>
      </c>
      <c r="O154" s="2194" t="s">
        <v>66</v>
      </c>
      <c r="P154" s="2117"/>
      <c r="Q154" s="2117" t="s">
        <v>109</v>
      </c>
      <c r="R154" s="2511" t="s">
        <v>22</v>
      </c>
      <c r="S154" s="2116" t="s">
        <v>66</v>
      </c>
      <c r="T154" s="1820"/>
      <c r="U154" s="1820" t="s">
        <v>109</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487</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488</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489</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521</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66</v>
      </c>
      <c r="L160" s="2117"/>
      <c r="M160" s="2117" t="s">
        <v>109</v>
      </c>
      <c r="N160" s="2513" t="str">
        <f>IF(Z160="","",INDEX(TERRITORY_MR_LIST,MATCH(Z160,TERRITORY_LIST_ID,0)))</f>
        <v/>
      </c>
      <c r="O160" s="2194" t="s">
        <v>66</v>
      </c>
      <c r="P160" s="2117"/>
      <c r="Q160" s="2117" t="s">
        <v>109</v>
      </c>
      <c r="R160" s="2511" t="s">
        <v>22</v>
      </c>
      <c r="S160" s="2116" t="s">
        <v>66</v>
      </c>
      <c r="T160" s="1820"/>
      <c r="U160" s="1820" t="s">
        <v>109</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487</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488</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489</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109</v>
      </c>
      <c r="N165" s="2513" t="str">
        <f>IF(Z165="","",INDEX(TERRITORY_MR_LIST,MATCH(Z165,TERRITORY_LIST_ID,0)))</f>
        <v/>
      </c>
      <c r="O165" s="2194" t="s">
        <v>66</v>
      </c>
      <c r="P165" s="2117"/>
      <c r="Q165" s="2117" t="s">
        <v>109</v>
      </c>
      <c r="R165" s="2511" t="s">
        <v>22</v>
      </c>
      <c r="S165" s="2116" t="s">
        <v>66</v>
      </c>
      <c r="T165" s="1820"/>
      <c r="U165" s="1820" t="s">
        <v>109</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487</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488</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109</v>
      </c>
      <c r="R169" s="2511" t="s">
        <v>22</v>
      </c>
      <c r="S169" s="2116" t="s">
        <v>66</v>
      </c>
      <c r="T169" s="1820"/>
      <c r="U169" s="1820" t="s">
        <v>109</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487</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109</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2027</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66</v>
      </c>
      <c r="L176" s="2117"/>
      <c r="M176" s="2117" t="s">
        <v>109</v>
      </c>
      <c r="N176" s="2513" t="str">
        <f>IF(Z176="","",INDEX(TERRITORY_MR_LIST,MATCH(Z176,TERRITORY_LIST_ID,0)))</f>
        <v/>
      </c>
      <c r="O176" s="2194" t="s">
        <v>66</v>
      </c>
      <c r="P176" s="2117"/>
      <c r="Q176" s="2117" t="s">
        <v>109</v>
      </c>
      <c r="R176" s="2511" t="s">
        <v>22</v>
      </c>
      <c r="S176" s="2415" t="s">
        <v>19</v>
      </c>
      <c r="T176" s="1811"/>
      <c r="U176" s="1811" t="s">
        <v>109</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488</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489</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521</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66</v>
      </c>
      <c r="L182" s="2117"/>
      <c r="M182" s="2117" t="s">
        <v>109</v>
      </c>
      <c r="N182" s="2513" t="str">
        <f>IF(Z182="","",INDEX(TERRITORY_MR_LIST,MATCH(Z182,TERRITORY_LIST_ID,0)))</f>
        <v/>
      </c>
      <c r="O182" s="2194" t="s">
        <v>66</v>
      </c>
      <c r="P182" s="2117"/>
      <c r="Q182" s="2117" t="s">
        <v>109</v>
      </c>
      <c r="R182" s="2511" t="s">
        <v>22</v>
      </c>
      <c r="S182" s="2415" t="s">
        <v>19</v>
      </c>
      <c r="T182" s="1811"/>
      <c r="U182" s="1811" t="s">
        <v>109</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488</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489</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109</v>
      </c>
      <c r="N187" s="2513" t="str">
        <f>IF(Z187="","",INDEX(TERRITORY_MR_LIST,MATCH(Z187,TERRITORY_LIST_ID,0)))</f>
        <v/>
      </c>
      <c r="O187" s="2194" t="s">
        <v>66</v>
      </c>
      <c r="P187" s="2117"/>
      <c r="Q187" s="2117" t="s">
        <v>109</v>
      </c>
      <c r="R187" s="2511" t="s">
        <v>22</v>
      </c>
      <c r="S187" s="2415" t="s">
        <v>19</v>
      </c>
      <c r="T187" s="1811"/>
      <c r="U187" s="1811" t="s">
        <v>109</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488</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109</v>
      </c>
      <c r="R191" s="2511" t="s">
        <v>22</v>
      </c>
      <c r="S191" s="2415" t="s">
        <v>19</v>
      </c>
      <c r="T191" s="1811"/>
      <c r="U191" s="1811" t="s">
        <v>109</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2028</v>
      </c>
    </row>
    <row customHeight="1" ht="17.25">
      <c r="G201" s="1848"/>
      <c r="H201" s="1848"/>
      <c r="I201" s="1848"/>
      <c r="M201" s="1844"/>
    </row>
    <row s="1859" customFormat="1" customHeight="1" ht="15">
      <c r="D202" s="2532"/>
      <c r="E202" s="2208"/>
      <c r="F202" s="2208"/>
      <c r="G202" s="2194"/>
      <c r="H202" s="1573"/>
      <c r="I202" s="2536">
        <v>1</v>
      </c>
      <c r="J202" s="2510"/>
      <c r="K202" s="1588"/>
      <c r="L202" s="2194" t="s">
        <v>66</v>
      </c>
      <c r="M202" s="2194" t="s">
        <v>66</v>
      </c>
      <c r="N202" s="1573"/>
      <c r="O202" s="2117" t="s">
        <v>109</v>
      </c>
      <c r="P202" s="2526"/>
      <c r="Q202" s="1589"/>
      <c r="R202" s="2194" t="s">
        <v>66</v>
      </c>
      <c r="S202" s="2194" t="s">
        <v>66</v>
      </c>
      <c r="T202" s="1864"/>
      <c r="U202" s="2117" t="s">
        <v>109</v>
      </c>
      <c r="V202" s="2533" t="str">
        <f>IF(AK202="","",INDEX(TERRITORY_MR_LIST,MATCH(AK202,TERRITORY_LIST_ID,0)))</f>
        <v/>
      </c>
      <c r="W202" s="1590"/>
      <c r="X202" s="2194" t="s">
        <v>66</v>
      </c>
      <c r="Y202" s="2194" t="s">
        <v>19</v>
      </c>
      <c r="Z202" s="1573"/>
      <c r="AA202" s="2117" t="s">
        <v>109</v>
      </c>
      <c r="AB202" s="2535"/>
      <c r="AC202" s="1591"/>
      <c r="AD202" s="2194" t="s">
        <v>66</v>
      </c>
      <c r="AE202" s="2194" t="s">
        <v>19</v>
      </c>
      <c r="AF202" s="1571"/>
      <c r="AG202" s="1820" t="s">
        <v>109</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2029</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2030</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103</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2031</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521</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BCF49-1BF3-85A1-0301-0.C289A07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2032</v>
      </c>
      <c r="B1" s="855"/>
      <c r="C1" s="991" t="s">
        <v>2033</v>
      </c>
      <c r="D1" s="989" t="s">
        <v>910</v>
      </c>
      <c r="E1" s="989" t="s">
        <v>956</v>
      </c>
      <c r="F1" s="989" t="s">
        <v>1009</v>
      </c>
      <c r="G1" s="989" t="s">
        <v>996</v>
      </c>
      <c r="H1" s="989" t="s">
        <v>1707</v>
      </c>
    </row>
    <row customHeight="1" ht="9">
      <c r="A2" s="992" t="s">
        <v>2034</v>
      </c>
      <c r="B2" s="992"/>
      <c r="C2" s="993" t="str">
        <f>INDEX(TEMPLATE_NUMBER_FORM_LIST,MATCH(TEMPLATE_SPHERE,TEMPLATE_SPHERE_LIST,0))</f>
        <v>16</v>
      </c>
      <c r="D2" s="992" t="s">
        <v>157</v>
      </c>
      <c r="E2" s="992" t="s">
        <v>139</v>
      </c>
      <c r="F2" s="994" t="s">
        <v>139</v>
      </c>
      <c r="G2" s="992" t="s">
        <v>139</v>
      </c>
      <c r="H2" s="995"/>
    </row>
    <row customHeight="1" ht="63">
      <c r="A3" s="855"/>
      <c r="B3" s="855" t="s">
        <v>109</v>
      </c>
      <c r="C3" s="99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3" t="s">
        <v>2035</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4"/>
      <c r="G3" s="995"/>
      <c r="H3" s="855"/>
    </row>
    <row customHeight="1" ht="243">
      <c r="A4" s="855" t="s">
        <v>2036</v>
      </c>
      <c r="B4" s="855" t="s">
        <v>110</v>
      </c>
      <c r="C4" s="99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2" t="s">
        <v>2037</v>
      </c>
      <c r="E4" s="99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2"/>
      <c r="G4" s="992"/>
      <c r="H4" s="855" t="s">
        <v>2038</v>
      </c>
    </row>
    <row customHeight="1" ht="117">
      <c r="A5" s="855" t="s">
        <v>2039</v>
      </c>
      <c r="B5" s="855" t="s">
        <v>90</v>
      </c>
      <c r="C5" s="99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5" t="s">
        <v>2040</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5"/>
      <c r="G5" s="995"/>
      <c r="H5" s="855" t="s">
        <v>2041</v>
      </c>
    </row>
    <row customHeight="1" ht="90">
      <c r="A6" s="855" t="s">
        <v>2042</v>
      </c>
      <c r="B6" s="855" t="s">
        <v>91</v>
      </c>
      <c r="C6" s="99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5"/>
      <c r="G6" s="855"/>
      <c r="H6" s="995"/>
    </row>
    <row customHeight="1" ht="45">
      <c r="A7" s="855" t="s">
        <v>2043</v>
      </c>
      <c r="B7" s="855" t="s">
        <v>111</v>
      </c>
      <c r="C7" s="993" t="str">
        <f>IF(TEMPLATE_SPHERE="HEAT",D7,E7)</f>
        <v>Форма 11. Информация о расходах на капитальный и текущий ремонт основных средств</v>
      </c>
      <c r="D7" s="855" t="s">
        <v>2044</v>
      </c>
      <c r="E7" s="855" t="s">
        <v>2045</v>
      </c>
      <c r="F7" s="995"/>
      <c r="G7" s="995"/>
      <c r="H7" s="995"/>
    </row>
    <row customHeight="1" ht="108">
      <c r="A8" s="855" t="s">
        <v>2046</v>
      </c>
      <c r="B8" s="855" t="s">
        <v>92</v>
      </c>
      <c r="C8" s="99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5" t="s">
        <v>1258</v>
      </c>
      <c r="E8" s="855" t="s">
        <v>2047</v>
      </c>
      <c r="F8" s="995"/>
      <c r="G8" s="995"/>
      <c r="H8" s="995"/>
    </row>
    <row customHeight="1" ht="99">
      <c r="A9" s="855" t="s">
        <v>2048</v>
      </c>
      <c r="B9" s="855"/>
      <c r="C9" s="855" t="s">
        <v>2049</v>
      </c>
      <c r="D9" s="855"/>
      <c r="E9" s="855"/>
      <c r="F9" s="995"/>
      <c r="G9" s="995"/>
      <c r="H9" s="995"/>
    </row>
    <row customHeight="1" ht="126">
      <c r="A10" s="855" t="s">
        <v>2050</v>
      </c>
      <c r="B10" s="855"/>
      <c r="C10" s="855" t="s">
        <v>2051</v>
      </c>
      <c r="D10" s="855"/>
      <c r="E10" s="855"/>
      <c r="F10" s="995"/>
      <c r="G10" s="995"/>
      <c r="H10" s="995"/>
    </row>
    <row customHeight="1" ht="108">
      <c r="A11" s="855" t="s">
        <v>2052</v>
      </c>
      <c r="B11" s="855"/>
      <c r="C11" s="855" t="s">
        <v>2053</v>
      </c>
      <c r="D11" s="855"/>
      <c r="E11" s="855"/>
      <c r="F11" s="995"/>
      <c r="G11" s="995"/>
      <c r="H11" s="995"/>
    </row>
    <row customHeight="1" ht="54">
      <c r="A12" s="855" t="s">
        <v>2054</v>
      </c>
      <c r="B12" s="855"/>
      <c r="C12" s="855" t="s">
        <v>2055</v>
      </c>
      <c r="D12" s="855"/>
      <c r="E12" s="855"/>
      <c r="F12" s="995"/>
      <c r="G12" s="995"/>
      <c r="H12" s="995"/>
    </row>
    <row customHeight="1" ht="45">
      <c r="A13" s="855" t="s">
        <v>2056</v>
      </c>
      <c r="B13" s="855"/>
      <c r="C13" s="855" t="s">
        <v>2057</v>
      </c>
      <c r="D13" s="855"/>
      <c r="E13" s="855"/>
      <c r="F13" s="995"/>
      <c r="G13" s="995"/>
      <c r="H13" s="995"/>
    </row>
    <row customHeight="1" ht="117">
      <c r="A14" s="855" t="s">
        <v>2058</v>
      </c>
      <c r="B14" s="855"/>
      <c r="C14" s="855" t="s">
        <v>2059</v>
      </c>
      <c r="D14" s="855"/>
      <c r="E14" s="855"/>
      <c r="F14" s="995"/>
      <c r="G14" s="995"/>
      <c r="H14" s="995"/>
    </row>
    <row customHeight="1" ht="117">
      <c r="A15" s="855" t="s">
        <v>2060</v>
      </c>
      <c r="B15" s="855"/>
      <c r="C15" s="855" t="s">
        <v>2061</v>
      </c>
      <c r="D15" s="855"/>
      <c r="E15" s="855"/>
      <c r="F15" s="995"/>
      <c r="G15" s="995"/>
      <c r="H15" s="995"/>
    </row>
    <row customHeight="1" ht="63">
      <c r="A16" s="855" t="s">
        <v>2062</v>
      </c>
      <c r="B16" s="855"/>
      <c r="C16" s="855" t="s">
        <v>2063</v>
      </c>
      <c r="D16" s="855"/>
      <c r="E16" s="855"/>
      <c r="F16" s="995"/>
      <c r="G16" s="995"/>
      <c r="H16" s="995"/>
    </row>
    <row customHeight="1" ht="54">
      <c r="A17" s="855" t="s">
        <v>2064</v>
      </c>
      <c r="B17" s="855"/>
      <c r="C17" s="993" t="s">
        <v>2065</v>
      </c>
      <c r="D17" s="855"/>
      <c r="E17" s="855"/>
      <c r="F17" s="995"/>
      <c r="G17" s="995"/>
      <c r="H17" s="995"/>
    </row>
    <row customHeight="1" ht="27">
      <c r="A18" s="855" t="s">
        <v>2066</v>
      </c>
      <c r="B18" s="855"/>
      <c r="C18" s="993" t="s">
        <v>2067</v>
      </c>
      <c r="D18" s="855"/>
      <c r="E18" s="855"/>
      <c r="F18" s="995"/>
      <c r="G18" s="995"/>
      <c r="H18" s="995"/>
    </row>
    <row customHeight="1" ht="54">
      <c r="A19" s="855" t="s">
        <v>2068</v>
      </c>
      <c r="B19" s="855"/>
      <c r="C19" s="993" t="s">
        <v>2069</v>
      </c>
      <c r="D19" s="855"/>
      <c r="E19" s="855"/>
      <c r="F19" s="995"/>
      <c r="G19" s="995"/>
      <c r="H19" s="995"/>
    </row>
    <row customHeight="1" ht="36">
      <c r="A20" s="855" t="s">
        <v>2070</v>
      </c>
      <c r="B20" s="855"/>
      <c r="C20" s="993" t="s">
        <v>2071</v>
      </c>
      <c r="D20" s="855"/>
      <c r="E20" s="855"/>
      <c r="F20" s="995"/>
      <c r="G20" s="995"/>
      <c r="H20" s="995"/>
    </row>
    <row customHeight="1" ht="36">
      <c r="A21" s="855" t="s">
        <v>2072</v>
      </c>
      <c r="B21" s="855"/>
      <c r="C21" s="993" t="s">
        <v>2073</v>
      </c>
      <c r="D21" s="855"/>
      <c r="E21" s="855"/>
      <c r="F21" s="995"/>
      <c r="G21" s="995"/>
      <c r="H21" s="995"/>
    </row>
    <row customHeight="1" ht="27">
      <c r="A22" s="855" t="s">
        <v>2074</v>
      </c>
      <c r="B22" s="855"/>
      <c r="C22" s="993" t="s">
        <v>2075</v>
      </c>
      <c r="D22" s="855"/>
      <c r="E22" s="855"/>
      <c r="F22" s="995"/>
      <c r="G22" s="995"/>
      <c r="H22" s="995"/>
    </row>
    <row customHeight="1" ht="36">
      <c r="A23" s="855" t="s">
        <v>2076</v>
      </c>
      <c r="B23" s="855"/>
      <c r="C23" s="993" t="s">
        <v>2077</v>
      </c>
      <c r="D23" s="855"/>
      <c r="E23" s="855"/>
      <c r="F23" s="995"/>
      <c r="G23" s="995"/>
      <c r="H23" s="995"/>
    </row>
    <row customHeight="1" ht="28.5">
      <c r="A24" s="855" t="s">
        <v>2078</v>
      </c>
      <c r="B24" s="855"/>
      <c r="C24" s="993" t="s">
        <v>2079</v>
      </c>
      <c r="D24" s="855"/>
      <c r="E24" s="855"/>
      <c r="F24" s="995"/>
      <c r="G24" s="995"/>
      <c r="H24" s="995"/>
    </row>
    <row customHeight="1" ht="36">
      <c r="A25" s="855" t="s">
        <v>2080</v>
      </c>
      <c r="B25" s="855"/>
      <c r="C25" s="993" t="s">
        <v>2081</v>
      </c>
      <c r="D25" s="855"/>
      <c r="E25" s="855"/>
      <c r="F25" s="995"/>
      <c r="G25" s="995"/>
      <c r="H25" s="995"/>
    </row>
    <row customHeight="1" ht="27">
      <c r="A26" s="855" t="s">
        <v>2082</v>
      </c>
      <c r="B26" s="855"/>
      <c r="C26" s="993" t="s">
        <v>2083</v>
      </c>
      <c r="D26" s="855"/>
      <c r="E26" s="855"/>
      <c r="F26" s="995"/>
      <c r="G26" s="995"/>
      <c r="H26" s="995"/>
    </row>
    <row customHeight="1" ht="36">
      <c r="A27" s="855" t="s">
        <v>2084</v>
      </c>
      <c r="B27" s="855"/>
      <c r="C27" s="993" t="s">
        <v>2085</v>
      </c>
      <c r="D27" s="855"/>
      <c r="E27" s="855"/>
      <c r="F27" s="995"/>
      <c r="G27" s="995"/>
      <c r="H27" s="995"/>
    </row>
    <row customHeight="1" ht="28.5">
      <c r="A28" s="855" t="s">
        <v>2086</v>
      </c>
      <c r="B28" s="855"/>
      <c r="C28" s="993" t="s">
        <v>2087</v>
      </c>
      <c r="D28" s="855"/>
      <c r="E28" s="855"/>
      <c r="F28" s="995"/>
      <c r="G28" s="995"/>
      <c r="H28" s="995"/>
    </row>
    <row customHeight="1" ht="126">
      <c r="A29" s="855" t="s">
        <v>2088</v>
      </c>
      <c r="B29" s="855" t="s">
        <v>190</v>
      </c>
      <c r="C29" s="99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5" t="s">
        <v>2089</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5"/>
      <c r="G29" s="995"/>
      <c r="H29" s="855" t="s">
        <v>2090</v>
      </c>
    </row>
    <row customHeight="1" ht="36">
      <c r="A30" s="855" t="s">
        <v>2091</v>
      </c>
      <c r="B30" s="855"/>
      <c r="C30" s="99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5" t="s">
        <v>2092</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5"/>
      <c r="G30" s="995"/>
      <c r="H30" s="995"/>
    </row>
    <row customHeight="1" ht="54">
      <c r="A31" s="855" t="s">
        <v>2093</v>
      </c>
      <c r="B31" s="855"/>
      <c r="C31" s="99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5" t="s">
        <v>2094</v>
      </c>
      <c r="E31" s="85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5"/>
      <c r="G31" s="995"/>
      <c r="H31" s="995"/>
    </row>
    <row customHeight="1" ht="198">
      <c r="A32" s="855" t="s">
        <v>2095</v>
      </c>
      <c r="B32" s="855"/>
      <c r="C32" s="99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5" t="s">
        <v>2096</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5"/>
      <c r="G32" s="995"/>
      <c r="H32" s="855" t="s">
        <v>2097</v>
      </c>
    </row>
    <row customHeight="1" ht="9">
      <c r="A33" s="855"/>
      <c r="B33" s="855"/>
      <c r="C33" s="993"/>
      <c r="D33" s="855"/>
      <c r="E33" s="855"/>
      <c r="F33" s="995"/>
      <c r="G33" s="995"/>
      <c r="H33" s="995"/>
    </row>
    <row customHeight="1" ht="9">
      <c r="A34" s="855"/>
      <c r="B34" s="855" t="s">
        <v>166</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46C5EF3-6D44-C095-D006-0.50F00EA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2098</v>
      </c>
      <c r="D1" s="907"/>
      <c r="E1" s="907"/>
      <c r="F1" s="907"/>
      <c r="G1" s="907"/>
      <c r="H1" s="907" t="s">
        <v>2099</v>
      </c>
      <c r="I1" s="907"/>
      <c r="J1" s="907"/>
      <c r="K1" s="907"/>
      <c r="L1" s="907"/>
      <c r="M1" s="907" t="s">
        <v>2100</v>
      </c>
      <c r="N1" s="907" t="s">
        <v>2101</v>
      </c>
      <c r="O1" s="2601" t="s">
        <v>2102</v>
      </c>
      <c r="P1" s="2601"/>
      <c r="Q1" s="2601"/>
      <c r="R1" s="2601"/>
      <c r="S1" s="2601"/>
      <c r="T1" s="2601" t="s">
        <v>2100</v>
      </c>
      <c r="U1" s="2601"/>
      <c r="V1" s="2601"/>
      <c r="W1" s="2601"/>
      <c r="X1" s="2601"/>
      <c r="Y1" s="1008"/>
      <c r="Z1" s="2601" t="s">
        <v>2103</v>
      </c>
      <c r="AA1" s="2601"/>
      <c r="AB1" s="2601"/>
      <c r="AC1" s="2601"/>
      <c r="AD1" s="2601"/>
    </row>
    <row customHeight="1" ht="18">
      <c r="A2" s="855"/>
      <c r="B2" s="855"/>
      <c r="C2" s="850" t="s">
        <v>910</v>
      </c>
      <c r="D2" s="850" t="s">
        <v>956</v>
      </c>
      <c r="E2" s="850" t="s">
        <v>1009</v>
      </c>
      <c r="F2" s="850" t="s">
        <v>996</v>
      </c>
      <c r="G2" s="850" t="s">
        <v>1707</v>
      </c>
      <c r="H2" s="852"/>
      <c r="I2" s="852"/>
      <c r="J2" s="852"/>
      <c r="K2" s="852"/>
      <c r="L2" s="852"/>
      <c r="M2" s="852"/>
      <c r="N2" s="852"/>
      <c r="O2" s="850" t="s">
        <v>910</v>
      </c>
      <c r="P2" s="850" t="s">
        <v>956</v>
      </c>
      <c r="Q2" s="850" t="s">
        <v>996</v>
      </c>
      <c r="R2" s="850" t="s">
        <v>1009</v>
      </c>
      <c r="S2" s="850" t="s">
        <v>1707</v>
      </c>
      <c r="T2" s="850" t="s">
        <v>910</v>
      </c>
      <c r="U2" s="850" t="s">
        <v>956</v>
      </c>
      <c r="V2" s="850" t="s">
        <v>996</v>
      </c>
      <c r="W2" s="850" t="s">
        <v>1009</v>
      </c>
      <c r="X2" s="850" t="s">
        <v>1707</v>
      </c>
      <c r="Y2" s="850"/>
      <c r="Z2" s="850" t="s">
        <v>910</v>
      </c>
      <c r="AA2" s="859" t="s">
        <v>956</v>
      </c>
      <c r="AB2" s="850" t="s">
        <v>996</v>
      </c>
      <c r="AC2" s="850" t="s">
        <v>1009</v>
      </c>
      <c r="AD2" s="850" t="s">
        <v>1707</v>
      </c>
    </row>
    <row customHeight="1" ht="162">
      <c r="A3" s="854" t="s">
        <v>27</v>
      </c>
      <c r="B3" s="854"/>
      <c r="C3" s="2605" t="s">
        <v>2104</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2"/>
      <c r="P3" s="852"/>
      <c r="Q3" s="852"/>
      <c r="R3" s="852"/>
      <c r="S3" s="852"/>
      <c r="T3" s="852"/>
      <c r="U3" s="852"/>
      <c r="V3" s="852"/>
      <c r="W3" s="852"/>
      <c r="X3" s="852"/>
      <c r="Y3" s="1009"/>
      <c r="Z3" s="855" t="s">
        <v>2105</v>
      </c>
      <c r="AA3" s="852" t="s">
        <v>2106</v>
      </c>
      <c r="AB3" s="855" t="s">
        <v>2107</v>
      </c>
      <c r="AC3" s="855" t="s">
        <v>2108</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184</v>
      </c>
      <c r="D11" s="2608" t="s">
        <v>181</v>
      </c>
      <c r="E11" s="2608" t="s">
        <v>1739</v>
      </c>
      <c r="F11" s="2608" t="s">
        <v>2109</v>
      </c>
      <c r="G11" s="2608"/>
      <c r="H11" s="907" t="s">
        <v>2110</v>
      </c>
      <c r="I11" s="907"/>
      <c r="J11" s="907"/>
      <c r="K11" s="907"/>
      <c r="L11" s="907"/>
      <c r="M11" s="853" t="str">
        <f>IF(TEMPLATE_SPHERE="HEAT",T11,U11)</f>
        <v>Количество поданных заявок</v>
      </c>
      <c r="N11" s="853"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2"/>
      <c r="P11" s="852"/>
      <c r="Q11" s="852"/>
      <c r="R11" s="852"/>
      <c r="S11" s="852"/>
      <c r="T11" s="852" t="s">
        <v>2111</v>
      </c>
      <c r="U11" s="852" t="s">
        <v>2112</v>
      </c>
      <c r="V11" s="852"/>
      <c r="W11" s="852"/>
      <c r="X11" s="852"/>
      <c r="Y11" s="1009"/>
      <c r="Z11" s="855" t="s">
        <v>2113</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5"/>
      <c r="AC11" s="855"/>
      <c r="AD11" s="855"/>
    </row>
    <row customHeight="1" ht="45">
      <c r="A12" s="2602"/>
      <c r="B12" s="908">
        <v>2</v>
      </c>
      <c r="C12" s="2609"/>
      <c r="D12" s="2609"/>
      <c r="E12" s="2609"/>
      <c r="F12" s="2609"/>
      <c r="G12" s="2609"/>
      <c r="H12" s="907" t="s">
        <v>2114</v>
      </c>
      <c r="I12" s="907"/>
      <c r="J12" s="907"/>
      <c r="K12" s="907"/>
      <c r="L12" s="907"/>
      <c r="M12" s="853" t="str">
        <f>IF(TEMPLATE_SPHERE="HEAT",T12,U12)</f>
        <v>Количество рассмотренных заявок</v>
      </c>
      <c r="N12" s="853"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2"/>
      <c r="P12" s="852"/>
      <c r="Q12" s="852"/>
      <c r="R12" s="852"/>
      <c r="S12" s="852"/>
      <c r="T12" s="852" t="s">
        <v>2115</v>
      </c>
      <c r="U12" s="852" t="s">
        <v>2116</v>
      </c>
      <c r="V12" s="852"/>
      <c r="W12" s="852"/>
      <c r="X12" s="852"/>
      <c r="Y12" s="1009"/>
      <c r="Z12" s="855" t="s">
        <v>2117</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5"/>
      <c r="AC12" s="855"/>
      <c r="AD12" s="855"/>
    </row>
    <row customHeight="1" ht="72">
      <c r="A13" s="2602"/>
      <c r="B13" s="908">
        <v>3</v>
      </c>
      <c r="C13" s="2609"/>
      <c r="D13" s="2609"/>
      <c r="E13" s="2609"/>
      <c r="F13" s="2609"/>
      <c r="G13" s="2609"/>
      <c r="H13" s="2601" t="s">
        <v>2118</v>
      </c>
      <c r="I13" s="907"/>
      <c r="J13" s="907"/>
      <c r="K13" s="907"/>
      <c r="L13" s="907"/>
      <c r="M13" s="85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3" t="str">
        <f>IF(TEMPLATE_SPHERE="HEAT",Z13,AA13)</f>
        <v>Указывается количество заявок с решением об отказе в течение отчетного квартала.</v>
      </c>
      <c r="O13" s="852"/>
      <c r="P13" s="853"/>
      <c r="Q13" s="853"/>
      <c r="R13" s="853"/>
      <c r="S13" s="852"/>
      <c r="T13" s="852" t="s">
        <v>2119</v>
      </c>
      <c r="U13" s="853" t="s">
        <v>2120</v>
      </c>
      <c r="V13" s="853"/>
      <c r="W13" s="853"/>
      <c r="X13" s="852"/>
      <c r="Y13" s="1009"/>
      <c r="Z13" s="855" t="s">
        <v>2121</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системе теплоснабжения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2122</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3"/>
      <c r="W14" s="853"/>
      <c r="X14" s="852"/>
      <c r="Y14" s="1009"/>
      <c r="Z14" s="855" t="s">
        <v>2123</v>
      </c>
      <c r="AA14" s="858" t="s">
        <v>2123</v>
      </c>
      <c r="AB14" s="855"/>
      <c r="AC14" s="855"/>
      <c r="AD14" s="855"/>
    </row>
    <row customHeight="1" ht="108">
      <c r="A15" s="2602"/>
      <c r="B15" s="908">
        <v>5</v>
      </c>
      <c r="C15" s="2609"/>
      <c r="D15" s="2609"/>
      <c r="E15" s="2609"/>
      <c r="F15" s="2609"/>
      <c r="G15" s="2609"/>
      <c r="H15" s="2603" t="s">
        <v>2124</v>
      </c>
      <c r="I15" s="909"/>
      <c r="J15" s="909"/>
      <c r="K15" s="909"/>
      <c r="L15" s="909"/>
      <c r="M15" s="858" t="str">
        <f>IF(TEMPLATE_SPHERE="HEAT",T15,U15)</f>
        <v>Резерв мощности источников тепловой энергии, входящих в систему теплоснабжения, в течение одного квартала, в том числе:</v>
      </c>
      <c r="N15" s="857"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2"/>
      <c r="P15" s="853"/>
      <c r="Q15" s="853"/>
      <c r="R15" s="853"/>
      <c r="S15" s="852"/>
      <c r="T15" s="852" t="s">
        <v>2125</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3"/>
      <c r="W15" s="853"/>
      <c r="X15" s="852"/>
      <c r="Y15" s="1009"/>
      <c r="Z15" s="855" t="s">
        <v>2126</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2"/>
      <c r="P16" s="853"/>
      <c r="Q16" s="853"/>
      <c r="R16" s="853"/>
      <c r="S16" s="852"/>
      <c r="T16" s="852"/>
      <c r="U16" s="853"/>
      <c r="V16" s="853"/>
      <c r="W16" s="853"/>
      <c r="X16" s="852"/>
      <c r="Y16" s="1009"/>
      <c r="Z16" s="855" t="s">
        <v>2126</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1742</v>
      </c>
      <c r="B18" s="908">
        <v>1</v>
      </c>
      <c r="C18" s="852" t="s">
        <v>2110</v>
      </c>
      <c r="D18" s="976" t="s">
        <v>2110</v>
      </c>
      <c r="E18" s="852" t="s">
        <v>2110</v>
      </c>
      <c r="F18" s="852" t="s">
        <v>2110</v>
      </c>
      <c r="G18" s="852"/>
      <c r="H18" s="1011"/>
      <c r="I18" s="1014">
        <f>INDEX(TEMPLATE_NUMBER_POINT_FHD,B18,MATCH(TEMPLATE_SPHERE,TEMPLATE_SPHERE_LIST_FOR_NOTE,0))</f>
        <v>1</v>
      </c>
      <c r="J18" s="1014" t="str">
        <f>INDEX(TEMPLATE_DATA_POINT_FHD,B18,MATCH(TEMPLATE_SPHERE,TEMPLATE_SPHERE_LIST_FOR_NOTE,0))</f>
        <v>Выручка от регулируемого вида деятельности с распределением по видам деятельности</v>
      </c>
      <c r="K18" s="1014"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3">
        <f>IF(I18=0,"",I18)</f>
        <v>1</v>
      </c>
      <c r="M18" s="853" t="str">
        <f>IF(J18=0,"",J18)</f>
        <v>Выручка от регулируемого вида деятельности с распределением по видам деятельности</v>
      </c>
      <c r="N18" s="853" t="str">
        <f>IF(K18=0,"",K18)</f>
        <v>Указывается выручка от регулируемого вида деятельности с распределением по видам деятельности.</v>
      </c>
      <c r="O18" s="966">
        <v>1</v>
      </c>
      <c r="P18" s="966">
        <v>1</v>
      </c>
      <c r="Q18" s="966">
        <v>1</v>
      </c>
      <c r="R18" s="966">
        <v>1</v>
      </c>
      <c r="S18" s="966"/>
      <c r="T18" s="973" t="s">
        <v>2127</v>
      </c>
      <c r="U18" s="855" t="s">
        <v>2128</v>
      </c>
      <c r="V18" s="855" t="s">
        <v>2129</v>
      </c>
      <c r="W18" s="855" t="s">
        <v>2130</v>
      </c>
      <c r="X18" s="852"/>
      <c r="Y18" s="1009"/>
      <c r="Z18" s="855" t="s">
        <v>2131</v>
      </c>
      <c r="AA18" s="858" t="s">
        <v>2132</v>
      </c>
      <c r="AB18" s="858" t="s">
        <v>2132</v>
      </c>
      <c r="AC18" s="858" t="s">
        <v>2132</v>
      </c>
      <c r="AD18" s="855"/>
    </row>
    <row customHeight="1" ht="36">
      <c r="A19" s="854"/>
      <c r="B19" s="908">
        <v>2</v>
      </c>
      <c r="C19" s="852" t="s">
        <v>2114</v>
      </c>
      <c r="D19" s="976" t="s">
        <v>2114</v>
      </c>
      <c r="E19" s="852" t="s">
        <v>2114</v>
      </c>
      <c r="F19" s="852" t="s">
        <v>2114</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регулируемому виду деятельности, включая:</v>
      </c>
      <c r="N19" s="853" t="str">
        <f>IF(K19=0,"",K19)</f>
        <v>Указывается суммарная себестоимость производимых товаров.</v>
      </c>
      <c r="O19" s="966">
        <v>2</v>
      </c>
      <c r="P19" s="966">
        <v>2</v>
      </c>
      <c r="Q19" s="966">
        <v>2</v>
      </c>
      <c r="R19" s="966">
        <v>2</v>
      </c>
      <c r="S19" s="966"/>
      <c r="T19" s="973" t="s">
        <v>2133</v>
      </c>
      <c r="U19" s="855" t="s">
        <v>2134</v>
      </c>
      <c r="V19" s="855" t="s">
        <v>2135</v>
      </c>
      <c r="W19" s="855" t="s">
        <v>2136</v>
      </c>
      <c r="X19" s="852"/>
      <c r="Y19" s="1009"/>
      <c r="Z19" s="855" t="s">
        <v>2137</v>
      </c>
      <c r="AA19" s="858" t="s">
        <v>2137</v>
      </c>
      <c r="AB19" s="858" t="s">
        <v>2137</v>
      </c>
      <c r="AC19" s="858" t="s">
        <v>2137</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теплоноситель</v>
      </c>
      <c r="K20" s="1014">
        <f>INDEX(TEMPLATE_NOTE_POINT_FHD,B20,MATCH(TEMPLATE_SPHERE,TEMPLATE_SPHERE_LIST_FOR_NOTE,0))</f>
        <v>0</v>
      </c>
      <c r="L20" s="853" t="str">
        <f>IF(I20=0,"",I20)</f>
        <v>2.1</v>
      </c>
      <c r="M20" s="853" t="str">
        <f>IF(J20=0,"",J20)</f>
        <v>Расходы на приобретаемую тепловую энергию (мощность), теплоноситель</v>
      </c>
      <c r="N20" s="853" t="str">
        <f>IF(K20=0,"",K20)</f>
        <v/>
      </c>
      <c r="O20" s="966" t="s">
        <v>811</v>
      </c>
      <c r="P20" s="966" t="s">
        <v>811</v>
      </c>
      <c r="Q20" s="966" t="s">
        <v>811</v>
      </c>
      <c r="R20" s="966" t="s">
        <v>811</v>
      </c>
      <c r="S20" s="966"/>
      <c r="T20" s="973" t="s">
        <v>2138</v>
      </c>
      <c r="U20" s="855" t="s">
        <v>2139</v>
      </c>
      <c r="V20" s="855" t="s">
        <v>2140</v>
      </c>
      <c r="W20" s="855" t="s">
        <v>2141</v>
      </c>
      <c r="X20" s="852"/>
      <c r="Y20" s="1009"/>
      <c r="Z20" s="855"/>
      <c r="AA20" s="858"/>
      <c r="AB20" s="855"/>
      <c r="AC20" s="855"/>
      <c r="AD20" s="855"/>
    </row>
    <row customHeight="1" ht="36">
      <c r="A21" s="854"/>
      <c r="B21" s="908">
        <v>4</v>
      </c>
      <c r="C21" s="852">
        <v>2</v>
      </c>
      <c r="D21" s="976"/>
      <c r="E21" s="852"/>
      <c r="F21" s="852"/>
      <c r="G21" s="852"/>
      <c r="H21" s="1011"/>
      <c r="I21" s="1014" t="str">
        <f>INDEX(TEMPLATE_NUMBER_POINT_FHD,B21,MATCH(TEMPLATE_SPHERE,TEMPLATE_SPHERE_LIST_FOR_NOTE,0))</f>
        <v>2.2</v>
      </c>
      <c r="J21" s="1014"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4" t="str">
        <f>INDEX(TEMPLATE_NOTE_POINT_FHD,B21,MATCH(TEMPLATE_SPHERE,TEMPLATE_SPHERE_LIST_FOR_NOTE,0))</f>
        <v>Указываются суммарные расходы на приобретение топлива всех видов.</v>
      </c>
      <c r="L21" s="853" t="str">
        <f>IF(I21=0,"",I21)</f>
        <v>2.2</v>
      </c>
      <c r="M21" s="853"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3" t="str">
        <f>IF(K21=0,"",K21)</f>
        <v>Указываются суммарные расходы на приобретение топлива всех видов.</v>
      </c>
      <c r="O21" s="966" t="s">
        <v>380</v>
      </c>
      <c r="P21" s="966"/>
      <c r="Q21" s="966"/>
      <c r="R21" s="966"/>
      <c r="S21" s="966"/>
      <c r="T21" s="973" t="s">
        <v>2142</v>
      </c>
      <c r="U21" s="855"/>
      <c r="V21" s="855"/>
      <c r="W21" s="855"/>
      <c r="X21" s="852"/>
      <c r="Y21" s="1009"/>
      <c r="Z21" s="855" t="s">
        <v>2143</v>
      </c>
      <c r="AA21" s="858"/>
      <c r="AB21" s="855"/>
      <c r="AC21" s="855"/>
      <c r="AD21" s="855"/>
    </row>
    <row customHeight="1" ht="36">
      <c r="A22" s="854"/>
      <c r="B22" s="908">
        <v>5</v>
      </c>
      <c r="C22" s="852">
        <v>3</v>
      </c>
      <c r="D22" s="976"/>
      <c r="E22" s="852"/>
      <c r="F22" s="852"/>
      <c r="G22" s="900"/>
      <c r="H22" s="967"/>
      <c r="I22" s="1014">
        <f>INDEX(TEMPLATE_NUMBER_POINT_FHD,B22,MATCH(TEMPLATE_SPHERE,TEMPLATE_SPHERE_LIST_FOR_NOTE,0))</f>
        <v>0</v>
      </c>
      <c r="J22" s="1014">
        <f>INDEX(TEMPLATE_DATA_POINT_FHD,B22,MATCH(TEMPLATE_SPHERE,TEMPLATE_SPHERE_LIST_FOR_NOTE,0))</f>
        <v>0</v>
      </c>
      <c r="K22" s="1014">
        <f>INDEX(TEMPLATE_NOTE_POINT_FHD,B22,MATCH(TEMPLATE_SPHERE,TEMPLATE_SPHERE_LIST_FOR_NOTE,0))</f>
        <v>0</v>
      </c>
      <c r="L22" s="853" t="str">
        <f>IF(I22=0,"",I22)</f>
        <v/>
      </c>
      <c r="M22" s="853" t="str">
        <f>IF(J22=0,"",J22)</f>
        <v/>
      </c>
      <c r="N22" s="853" t="str">
        <f>IF(K22=0,"",K22)</f>
        <v/>
      </c>
      <c r="O22" s="966"/>
      <c r="P22" s="966"/>
      <c r="Q22" s="966" t="s">
        <v>380</v>
      </c>
      <c r="R22" s="966"/>
      <c r="S22" s="966"/>
      <c r="T22" s="973"/>
      <c r="U22" s="855"/>
      <c r="V22" s="855" t="s">
        <v>2144</v>
      </c>
      <c r="W22" s="855"/>
      <c r="X22" s="852"/>
      <c r="Y22" s="1009"/>
      <c r="Z22" s="855"/>
      <c r="AA22" s="858"/>
      <c r="AB22" s="855"/>
      <c r="AC22" s="855"/>
      <c r="AD22" s="855"/>
    </row>
    <row customHeight="1" ht="27">
      <c r="A23" s="854"/>
      <c r="B23" s="908">
        <v>6</v>
      </c>
      <c r="C23" s="852">
        <v>4</v>
      </c>
      <c r="D23" s="976"/>
      <c r="E23" s="852"/>
      <c r="F23" s="852"/>
      <c r="G23" s="900"/>
      <c r="H23" s="967"/>
      <c r="I23" s="1014">
        <f>INDEX(TEMPLATE_NUMBER_POINT_FHD,B23,MATCH(TEMPLATE_SPHERE,TEMPLATE_SPHERE_LIST_FOR_NOTE,0))</f>
        <v>0</v>
      </c>
      <c r="J23" s="1014">
        <f>INDEX(TEMPLATE_DATA_POINT_FHD,B23,MATCH(TEMPLATE_SPHERE,TEMPLATE_SPHERE_LIST_FOR_NOTE,0))</f>
        <v>0</v>
      </c>
      <c r="K23" s="1014">
        <f>INDEX(TEMPLATE_NOTE_POINT_FHD,B23,MATCH(TEMPLATE_SPHERE,TEMPLATE_SPHERE_LIST_FOR_NOTE,0))</f>
        <v>0</v>
      </c>
      <c r="L23" s="853" t="str">
        <f>IF(I23=0,"",I23)</f>
        <v/>
      </c>
      <c r="M23" s="853" t="str">
        <f>IF(J23=0,"",J23)</f>
        <v/>
      </c>
      <c r="N23" s="853" t="str">
        <f>IF(K23=0,"",K23)</f>
        <v/>
      </c>
      <c r="O23" s="966"/>
      <c r="P23" s="966"/>
      <c r="Q23" s="966" t="s">
        <v>383</v>
      </c>
      <c r="R23" s="966"/>
      <c r="S23" s="966"/>
      <c r="T23" s="973"/>
      <c r="U23" s="855"/>
      <c r="V23" s="855" t="s">
        <v>2145</v>
      </c>
      <c r="W23" s="855"/>
      <c r="X23" s="852"/>
      <c r="Y23" s="1009"/>
      <c r="Z23" s="855"/>
      <c r="AA23" s="858"/>
      <c r="AB23" s="855"/>
      <c r="AC23" s="855"/>
      <c r="AD23" s="855"/>
    </row>
    <row customHeight="1" ht="36">
      <c r="A24" s="854"/>
      <c r="B24" s="908">
        <v>7</v>
      </c>
      <c r="C24" s="852">
        <v>5</v>
      </c>
      <c r="D24" s="976"/>
      <c r="E24" s="852"/>
      <c r="F24" s="852"/>
      <c r="G24" s="900"/>
      <c r="H24" s="967"/>
      <c r="I24" s="1014">
        <f>INDEX(TEMPLATE_NUMBER_POINT_FHD,B24,MATCH(TEMPLATE_SPHERE,TEMPLATE_SPHERE_LIST_FOR_NOTE,0))</f>
        <v>0</v>
      </c>
      <c r="J24" s="1014">
        <f>INDEX(TEMPLATE_DATA_POINT_FHD,B24,MATCH(TEMPLATE_SPHERE,TEMPLATE_SPHERE_LIST_FOR_NOTE,0))</f>
        <v>0</v>
      </c>
      <c r="K24" s="1014">
        <f>INDEX(TEMPLATE_NOTE_POINT_FHD,B24,MATCH(TEMPLATE_SPHERE,TEMPLATE_SPHERE_LIST_FOR_NOTE,0))</f>
        <v>0</v>
      </c>
      <c r="L24" s="853" t="str">
        <f>IF(I24=0,"",I24)</f>
        <v/>
      </c>
      <c r="M24" s="853" t="str">
        <f>IF(J24=0,"",J24)</f>
        <v/>
      </c>
      <c r="N24" s="853" t="str">
        <f>IF(K24=0,"",K24)</f>
        <v/>
      </c>
      <c r="O24" s="966"/>
      <c r="P24" s="966"/>
      <c r="Q24" s="966" t="s">
        <v>831</v>
      </c>
      <c r="R24" s="966"/>
      <c r="S24" s="966"/>
      <c r="T24" s="973"/>
      <c r="U24" s="855"/>
      <c r="V24" s="855" t="s">
        <v>2146</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2.3</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2.3</v>
      </c>
      <c r="M25" s="853" t="str">
        <f>IF(J25=0,"",J25)</f>
        <v>Расходы на приобретаемую электрическую энергию (мощность), используемую в технологическом процессе</v>
      </c>
      <c r="N25" s="853" t="str">
        <f>IF(K25=0,"",K25)</f>
        <v/>
      </c>
      <c r="O25" s="966" t="s">
        <v>383</v>
      </c>
      <c r="P25" s="966" t="s">
        <v>380</v>
      </c>
      <c r="Q25" s="966" t="s">
        <v>838</v>
      </c>
      <c r="R25" s="966" t="s">
        <v>380</v>
      </c>
      <c r="S25" s="966"/>
      <c r="T25" s="973" t="s">
        <v>2147</v>
      </c>
      <c r="U25" s="855" t="s">
        <v>2147</v>
      </c>
      <c r="V25" s="855" t="s">
        <v>2147</v>
      </c>
      <c r="W25" s="855" t="s">
        <v>2147</v>
      </c>
      <c r="X25" s="852"/>
      <c r="Y25" s="1009"/>
      <c r="Z25" s="855"/>
      <c r="AA25" s="858"/>
      <c r="AB25" s="855"/>
      <c r="AC25" s="855"/>
      <c r="AD25" s="855"/>
    </row>
    <row customHeight="1" ht="18">
      <c r="A26" s="854"/>
      <c r="B26" s="908">
        <v>9</v>
      </c>
      <c r="C26" s="852" t="s">
        <v>755</v>
      </c>
      <c r="D26" s="976"/>
      <c r="E26" s="852"/>
      <c r="F26" s="852"/>
      <c r="G26" s="900"/>
      <c r="H26" s="967"/>
      <c r="I26" s="1014" t="str">
        <f>INDEX(TEMPLATE_NUMBER_POINT_FHD,B26,MATCH(TEMPLATE_SPHERE,TEMPLATE_SPHERE_LIST_FOR_NOTE,0))</f>
        <v>2.3.1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2.3.1</v>
      </c>
      <c r="M26" s="853" t="str">
        <f>IF(J26=0,"",J26)</f>
        <v>Средневзвешенная стоимость 1 кВт.ч (с учетом мощности)</v>
      </c>
      <c r="N26" s="853" t="str">
        <f>IF(K26=0,"",K26)</f>
        <v/>
      </c>
      <c r="O26" s="966" t="s">
        <v>827</v>
      </c>
      <c r="P26" s="966" t="s">
        <v>821</v>
      </c>
      <c r="Q26" s="966" t="s">
        <v>2148</v>
      </c>
      <c r="R26" s="966" t="s">
        <v>821</v>
      </c>
      <c r="S26" s="966"/>
      <c r="T26" s="973"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3" t="s">
        <v>2149</v>
      </c>
      <c r="V26" s="973" t="s">
        <v>2149</v>
      </c>
      <c r="W26" s="973" t="s">
        <v>2149</v>
      </c>
      <c r="X26" s="852"/>
      <c r="Y26" s="1009"/>
      <c r="Z26" s="855"/>
      <c r="AA26" s="858"/>
      <c r="AB26" s="855"/>
      <c r="AC26" s="855"/>
      <c r="AD26" s="855"/>
    </row>
    <row customHeight="1" ht="18">
      <c r="A27" s="854"/>
      <c r="B27" s="908">
        <v>10</v>
      </c>
      <c r="C27" s="852" t="s">
        <v>759</v>
      </c>
      <c r="D27" s="976"/>
      <c r="E27" s="852"/>
      <c r="F27" s="852"/>
      <c r="G27" s="900"/>
      <c r="H27" s="967"/>
      <c r="I27" s="1014" t="str">
        <f>INDEX(TEMPLATE_NUMBER_POINT_FHD,B27,MATCH(TEMPLATE_SPHERE,TEMPLATE_SPHERE_LIST_FOR_NOTE,0))</f>
        <v>2.3.2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2.3.2</v>
      </c>
      <c r="M27" s="853" t="str">
        <f>IF(J27=0,"",J27)</f>
        <v>Объём приобретения электрической энергии</v>
      </c>
      <c r="N27" s="853" t="str">
        <f>IF(K27=0,"",K27)</f>
        <v/>
      </c>
      <c r="O27" s="966" t="s">
        <v>829</v>
      </c>
      <c r="P27" s="966" t="s">
        <v>823</v>
      </c>
      <c r="Q27" s="966" t="s">
        <v>2150</v>
      </c>
      <c r="R27" s="966" t="s">
        <v>823</v>
      </c>
      <c r="S27" s="966"/>
      <c r="T27" s="973" t="s">
        <v>2151</v>
      </c>
      <c r="U27" s="973" t="s">
        <v>2151</v>
      </c>
      <c r="V27" s="973" t="s">
        <v>2151</v>
      </c>
      <c r="W27" s="973" t="s">
        <v>2151</v>
      </c>
      <c r="X27" s="852"/>
      <c r="Y27" s="1009"/>
      <c r="Z27" s="855"/>
      <c r="AA27" s="858"/>
      <c r="AB27" s="855"/>
      <c r="AC27" s="855"/>
      <c r="AD27" s="855"/>
    </row>
    <row customHeight="1" ht="27">
      <c r="A28" s="854"/>
      <c r="B28" s="908">
        <v>11</v>
      </c>
      <c r="C28" s="852">
        <v>7</v>
      </c>
      <c r="D28" s="976"/>
      <c r="E28" s="852"/>
      <c r="F28" s="852"/>
      <c r="G28" s="900"/>
      <c r="H28" s="967"/>
      <c r="I28" s="1014" t="str">
        <f>INDEX(TEMPLATE_NUMBER_POINT_FHD,B28,MATCH(TEMPLATE_SPHERE,TEMPLATE_SPHERE_LIST_FOR_NOTE,0))</f>
        <v>2.4</v>
      </c>
      <c r="J28" s="1014" t="str">
        <f>INDEX(TEMPLATE_DATA_POINT_FHD,B28,MATCH(TEMPLATE_SPHERE,TEMPLATE_SPHERE_LIST_FOR_NOTE,0))</f>
        <v>Расходы на приобретение холодной воды, используемой в технологическом процессе</v>
      </c>
      <c r="K28" s="1014">
        <f>INDEX(TEMPLATE_NOTE_POINT_FHD,B28,MATCH(TEMPLATE_SPHERE,TEMPLATE_SPHERE_LIST_FOR_NOTE,0))</f>
        <v>0</v>
      </c>
      <c r="L28" s="853" t="str">
        <f>IF(I28=0,"",I28)</f>
        <v>2.4</v>
      </c>
      <c r="M28" s="853" t="str">
        <f>IF(J28=0,"",J28)</f>
        <v>Расходы на приобретение холодной воды, используемой в технологическом процессе</v>
      </c>
      <c r="N28" s="853" t="str">
        <f>IF(K28=0,"",K28)</f>
        <v/>
      </c>
      <c r="O28" s="966" t="s">
        <v>831</v>
      </c>
      <c r="P28" s="966"/>
      <c r="Q28" s="966"/>
      <c r="R28" s="966"/>
      <c r="S28" s="966"/>
      <c r="T28" s="973" t="s">
        <v>2152</v>
      </c>
      <c r="U28" s="855"/>
      <c r="V28" s="855"/>
      <c r="W28" s="855"/>
      <c r="X28" s="852"/>
      <c r="Y28" s="1009"/>
      <c r="Z28" s="855"/>
      <c r="AA28" s="858"/>
      <c r="AB28" s="855"/>
      <c r="AC28" s="855"/>
      <c r="AD28" s="855"/>
    </row>
    <row customHeight="1" ht="27">
      <c r="A29" s="854"/>
      <c r="B29" s="908">
        <v>12</v>
      </c>
      <c r="C29" s="852">
        <v>8</v>
      </c>
      <c r="D29" s="976"/>
      <c r="E29" s="852"/>
      <c r="F29" s="852"/>
      <c r="G29" s="900"/>
      <c r="H29" s="967"/>
      <c r="I29" s="1014" t="str">
        <f>INDEX(TEMPLATE_NUMBER_POINT_FHD,B29,MATCH(TEMPLATE_SPHERE,TEMPLATE_SPHERE_LIST_FOR_NOTE,0))</f>
        <v>2.5</v>
      </c>
      <c r="J29" s="1014" t="str">
        <f>INDEX(TEMPLATE_DATA_POINT_FHD,B29,MATCH(TEMPLATE_SPHERE,TEMPLATE_SPHERE_LIST_FOR_NOTE,0))</f>
        <v>Расходы на  химические реагенты, используемые в технологическом процессе</v>
      </c>
      <c r="K29" s="1014">
        <f>INDEX(TEMPLATE_NOTE_POINT_FHD,B29,MATCH(TEMPLATE_SPHERE,TEMPLATE_SPHERE_LIST_FOR_NOTE,0))</f>
        <v>0</v>
      </c>
      <c r="L29" s="853" t="str">
        <f>IF(I29=0,"",I29)</f>
        <v>2.5</v>
      </c>
      <c r="M29" s="853" t="str">
        <f>IF(J29=0,"",J29)</f>
        <v>Расходы на  химические реагенты, используемые в технологическом процессе</v>
      </c>
      <c r="N29" s="853" t="str">
        <f>IF(K29=0,"",K29)</f>
        <v/>
      </c>
      <c r="O29" s="966" t="s">
        <v>838</v>
      </c>
      <c r="P29" s="966" t="s">
        <v>383</v>
      </c>
      <c r="Q29" s="966"/>
      <c r="R29" s="966" t="s">
        <v>383</v>
      </c>
      <c r="S29" s="966"/>
      <c r="T29" s="97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5" t="s">
        <v>2153</v>
      </c>
      <c r="V29" s="855"/>
      <c r="W29" s="855" t="s">
        <v>2153</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f>INDEX(TEMPLATE_NOTE_POINT_FHD,B30,MATCH(TEMPLATE_SPHERE,TEMPLATE_SPHERE_LIST_FOR_NOTE,0))</f>
        <v>0</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
      </c>
      <c r="O30" s="966" t="s">
        <v>840</v>
      </c>
      <c r="P30" s="966" t="s">
        <v>831</v>
      </c>
      <c r="Q30" s="966" t="s">
        <v>840</v>
      </c>
      <c r="R30" s="966" t="s">
        <v>831</v>
      </c>
      <c r="S30" s="966"/>
      <c r="T30" s="973" t="s">
        <v>2154</v>
      </c>
      <c r="U30" s="855" t="s">
        <v>2154</v>
      </c>
      <c r="V30" s="855" t="s">
        <v>2154</v>
      </c>
      <c r="W30" s="855" t="s">
        <v>2154</v>
      </c>
      <c r="X30" s="852"/>
      <c r="Y30" s="1009"/>
      <c r="Z30" s="855"/>
      <c r="AA30" s="858" t="s">
        <v>2155</v>
      </c>
      <c r="AB30" s="858" t="s">
        <v>2155</v>
      </c>
      <c r="AC30" s="858" t="s">
        <v>2155</v>
      </c>
      <c r="AD30" s="855"/>
    </row>
    <row customHeight="1" ht="18">
      <c r="A31" s="854"/>
      <c r="B31" s="908">
        <v>14</v>
      </c>
      <c r="C31" s="852" t="s">
        <v>2156</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2157</v>
      </c>
      <c r="P31" s="966" t="s">
        <v>834</v>
      </c>
      <c r="Q31" s="966" t="s">
        <v>2157</v>
      </c>
      <c r="R31" s="966" t="s">
        <v>834</v>
      </c>
      <c r="S31" s="966"/>
      <c r="T31" s="974" t="s">
        <v>2158</v>
      </c>
      <c r="U31" s="855" t="s">
        <v>2158</v>
      </c>
      <c r="V31" s="855" t="s">
        <v>2158</v>
      </c>
      <c r="W31" s="855" t="s">
        <v>2158</v>
      </c>
      <c r="X31" s="852"/>
      <c r="Y31" s="1009"/>
      <c r="Z31" s="855"/>
      <c r="AA31" s="858"/>
      <c r="AB31" s="858"/>
      <c r="AC31" s="858"/>
      <c r="AD31" s="855"/>
    </row>
    <row customHeight="1" ht="36">
      <c r="A32" s="854"/>
      <c r="B32" s="908">
        <v>15</v>
      </c>
      <c r="C32" s="852" t="s">
        <v>2159</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2160</v>
      </c>
      <c r="P32" s="966" t="s">
        <v>836</v>
      </c>
      <c r="Q32" s="966" t="s">
        <v>2160</v>
      </c>
      <c r="R32" s="966" t="s">
        <v>836</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5" t="s">
        <v>2161</v>
      </c>
      <c r="V32" s="855" t="s">
        <v>2161</v>
      </c>
      <c r="W32" s="855" t="s">
        <v>2161</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4">
        <f>INDEX(TEMPLATE_NOTE_POINT_FHD,B33,MATCH(TEMPLATE_SPHERE,TEMPLATE_SPHERE_LIST_FOR_NOTE,0))</f>
        <v>0</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3" t="str">
        <f>IF(K33=0,"",K33)</f>
        <v/>
      </c>
      <c r="O33" s="966" t="s">
        <v>842</v>
      </c>
      <c r="P33" s="966" t="s">
        <v>838</v>
      </c>
      <c r="Q33" s="966" t="s">
        <v>842</v>
      </c>
      <c r="R33" s="966" t="s">
        <v>838</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5" t="s">
        <v>2162</v>
      </c>
      <c r="V33" s="855" t="s">
        <v>2162</v>
      </c>
      <c r="W33" s="855" t="s">
        <v>2163</v>
      </c>
      <c r="X33" s="852"/>
      <c r="Y33" s="1009"/>
      <c r="Z33" s="855"/>
      <c r="AA33" s="858" t="s">
        <v>2164</v>
      </c>
      <c r="AB33" s="858" t="s">
        <v>2164</v>
      </c>
      <c r="AC33" s="858" t="s">
        <v>2164</v>
      </c>
      <c r="AD33" s="855"/>
    </row>
    <row customHeight="1" ht="27">
      <c r="A34" s="854"/>
      <c r="B34" s="908">
        <v>17</v>
      </c>
      <c r="C34" s="852" t="s">
        <v>2165</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2166</v>
      </c>
      <c r="P34" s="966" t="s">
        <v>2148</v>
      </c>
      <c r="Q34" s="966" t="s">
        <v>2166</v>
      </c>
      <c r="R34" s="966" t="s">
        <v>2148</v>
      </c>
      <c r="S34" s="966"/>
      <c r="T34" s="975" t="s">
        <v>2167</v>
      </c>
      <c r="U34" s="855" t="s">
        <v>2167</v>
      </c>
      <c r="V34" s="855" t="s">
        <v>2167</v>
      </c>
      <c r="W34" s="855" t="s">
        <v>2168</v>
      </c>
      <c r="X34" s="852"/>
      <c r="Y34" s="1009"/>
      <c r="Z34" s="855"/>
      <c r="AA34" s="858"/>
      <c r="AB34" s="855"/>
      <c r="AC34" s="855"/>
      <c r="AD34" s="855"/>
    </row>
    <row customHeight="1" ht="45">
      <c r="A35" s="854"/>
      <c r="B35" s="908">
        <v>18</v>
      </c>
      <c r="C35" s="852" t="s">
        <v>2169</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2170</v>
      </c>
      <c r="P35" s="966" t="s">
        <v>2150</v>
      </c>
      <c r="Q35" s="966" t="s">
        <v>2170</v>
      </c>
      <c r="R35" s="966" t="s">
        <v>2150</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5" t="s">
        <v>2171</v>
      </c>
      <c r="V35" s="855" t="s">
        <v>2171</v>
      </c>
      <c r="W35" s="855" t="s">
        <v>2171</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844</v>
      </c>
      <c r="P36" s="966" t="s">
        <v>840</v>
      </c>
      <c r="Q36" s="966" t="s">
        <v>844</v>
      </c>
      <c r="R36" s="966" t="s">
        <v>840</v>
      </c>
      <c r="S36" s="966"/>
      <c r="T36" s="973" t="s">
        <v>2172</v>
      </c>
      <c r="U36" s="855" t="s">
        <v>2172</v>
      </c>
      <c r="V36" s="855" t="s">
        <v>2172</v>
      </c>
      <c r="W36" s="855" t="s">
        <v>2172</v>
      </c>
      <c r="X36" s="852"/>
      <c r="Y36" s="1009"/>
      <c r="Z36" s="855"/>
      <c r="AA36" s="858"/>
      <c r="AB36" s="855"/>
      <c r="AC36" s="855"/>
      <c r="AD36" s="855"/>
    </row>
    <row customHeight="1" ht="18">
      <c r="A37" s="854"/>
      <c r="B37" s="908">
        <v>20</v>
      </c>
      <c r="C37" s="852" t="s">
        <v>2173</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2174</v>
      </c>
      <c r="P37" s="966" t="s">
        <v>2157</v>
      </c>
      <c r="Q37" s="966" t="s">
        <v>2174</v>
      </c>
      <c r="R37" s="966" t="s">
        <v>2157</v>
      </c>
      <c r="S37" s="966"/>
      <c r="T37" s="973" t="s">
        <v>2175</v>
      </c>
      <c r="U37" s="855" t="s">
        <v>2175</v>
      </c>
      <c r="V37" s="855" t="s">
        <v>2175</v>
      </c>
      <c r="W37" s="855" t="s">
        <v>2175</v>
      </c>
      <c r="X37" s="852"/>
      <c r="Y37" s="1009"/>
      <c r="Z37" s="855"/>
      <c r="AA37" s="858"/>
      <c r="AB37" s="855"/>
      <c r="AC37" s="855"/>
      <c r="AD37" s="855"/>
    </row>
    <row customHeight="1" ht="18">
      <c r="A38" s="854"/>
      <c r="B38" s="908">
        <v>21</v>
      </c>
      <c r="C38" s="852" t="s">
        <v>2176</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2177</v>
      </c>
      <c r="P38" s="966" t="s">
        <v>2160</v>
      </c>
      <c r="Q38" s="966" t="s">
        <v>2177</v>
      </c>
      <c r="R38" s="966" t="s">
        <v>2160</v>
      </c>
      <c r="S38" s="966"/>
      <c r="T38" s="973" t="s">
        <v>2178</v>
      </c>
      <c r="U38" s="855" t="s">
        <v>2178</v>
      </c>
      <c r="V38" s="855" t="s">
        <v>2178</v>
      </c>
      <c r="W38" s="855" t="s">
        <v>2178</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регулируемого вида деятельности</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регулируемого вида деятельности</v>
      </c>
      <c r="N39" s="853" t="str">
        <f>IF(K39=0,"",K39)</f>
        <v/>
      </c>
      <c r="O39" s="966" t="s">
        <v>848</v>
      </c>
      <c r="P39" s="966" t="s">
        <v>842</v>
      </c>
      <c r="Q39" s="966" t="s">
        <v>848</v>
      </c>
      <c r="R39" s="966" t="s">
        <v>842</v>
      </c>
      <c r="S39" s="966"/>
      <c r="T39" s="973" t="s">
        <v>2179</v>
      </c>
      <c r="U39" s="855" t="s">
        <v>2180</v>
      </c>
      <c r="V39" s="855" t="s">
        <v>2181</v>
      </c>
      <c r="W39" s="855" t="s">
        <v>2182</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2183</v>
      </c>
      <c r="P40" s="966" t="s">
        <v>844</v>
      </c>
      <c r="Q40" s="966" t="s">
        <v>2183</v>
      </c>
      <c r="R40" s="966" t="s">
        <v>844</v>
      </c>
      <c r="S40" s="966"/>
      <c r="T40" s="852" t="s">
        <v>2184</v>
      </c>
      <c r="U40" s="852" t="s">
        <v>2184</v>
      </c>
      <c r="V40" s="852" t="s">
        <v>2184</v>
      </c>
      <c r="W40" s="852" t="s">
        <v>2184</v>
      </c>
      <c r="X40" s="852"/>
      <c r="Y40" s="1009"/>
      <c r="Z40" s="855" t="s">
        <v>2185</v>
      </c>
      <c r="AA40" s="858" t="s">
        <v>2185</v>
      </c>
      <c r="AB40" s="858" t="s">
        <v>2185</v>
      </c>
      <c r="AC40" s="858" t="s">
        <v>2185</v>
      </c>
      <c r="AD40" s="855"/>
    </row>
    <row customHeight="1" ht="27">
      <c r="A41" s="854"/>
      <c r="B41" s="908">
        <v>24</v>
      </c>
      <c r="C41" s="852" t="s">
        <v>2186</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2187</v>
      </c>
      <c r="P41" s="966" t="s">
        <v>2174</v>
      </c>
      <c r="Q41" s="966" t="s">
        <v>2187</v>
      </c>
      <c r="R41" s="966" t="s">
        <v>2174</v>
      </c>
      <c r="S41" s="966"/>
      <c r="T41" s="852" t="s">
        <v>2188</v>
      </c>
      <c r="U41" s="852" t="s">
        <v>2188</v>
      </c>
      <c r="V41" s="852" t="s">
        <v>2188</v>
      </c>
      <c r="W41" s="852" t="s">
        <v>2188</v>
      </c>
      <c r="X41" s="852"/>
      <c r="Y41" s="1009"/>
      <c r="Z41" s="855" t="s">
        <v>2189</v>
      </c>
      <c r="AA41" s="855" t="s">
        <v>2189</v>
      </c>
      <c r="AB41" s="855" t="s">
        <v>2189</v>
      </c>
      <c r="AC41" s="855" t="s">
        <v>2189</v>
      </c>
      <c r="AD41" s="855"/>
    </row>
    <row customHeight="1" ht="27">
      <c r="A42" s="854"/>
      <c r="B42" s="908">
        <v>25</v>
      </c>
      <c r="C42" s="852" t="s">
        <v>2190</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2191</v>
      </c>
      <c r="P42" s="966" t="s">
        <v>2177</v>
      </c>
      <c r="Q42" s="966" t="s">
        <v>2191</v>
      </c>
      <c r="R42" s="966" t="s">
        <v>2177</v>
      </c>
      <c r="S42" s="966"/>
      <c r="T42" s="852" t="s">
        <v>2192</v>
      </c>
      <c r="U42" s="852" t="s">
        <v>2192</v>
      </c>
      <c r="V42" s="852" t="s">
        <v>2192</v>
      </c>
      <c r="W42" s="852" t="s">
        <v>2192</v>
      </c>
      <c r="X42" s="852"/>
      <c r="Y42" s="1009"/>
      <c r="Z42" s="855" t="s">
        <v>2193</v>
      </c>
      <c r="AA42" s="855" t="s">
        <v>2193</v>
      </c>
      <c r="AB42" s="855" t="s">
        <v>2193</v>
      </c>
      <c r="AC42" s="855" t="s">
        <v>2193</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2194</v>
      </c>
      <c r="P43" s="966" t="s">
        <v>848</v>
      </c>
      <c r="Q43" s="966" t="s">
        <v>2194</v>
      </c>
      <c r="R43" s="966" t="s">
        <v>848</v>
      </c>
      <c r="S43" s="966"/>
      <c r="T43" s="852" t="s">
        <v>2195</v>
      </c>
      <c r="U43" s="852" t="s">
        <v>2195</v>
      </c>
      <c r="V43" s="852" t="s">
        <v>2195</v>
      </c>
      <c r="W43" s="852" t="s">
        <v>2195</v>
      </c>
      <c r="X43" s="852"/>
      <c r="Y43" s="1009"/>
      <c r="Z43" s="855" t="s">
        <v>2196</v>
      </c>
      <c r="AA43" s="855" t="s">
        <v>2196</v>
      </c>
      <c r="AB43" s="855" t="s">
        <v>2196</v>
      </c>
      <c r="AC43" s="855" t="s">
        <v>2196</v>
      </c>
      <c r="AD43" s="855"/>
    </row>
    <row customHeight="1" ht="27">
      <c r="A44" s="854"/>
      <c r="B44" s="908">
        <v>27</v>
      </c>
      <c r="C44" s="852" t="s">
        <v>2197</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2198</v>
      </c>
      <c r="P44" s="966" t="s">
        <v>2199</v>
      </c>
      <c r="Q44" s="966" t="s">
        <v>2198</v>
      </c>
      <c r="R44" s="966" t="s">
        <v>2199</v>
      </c>
      <c r="S44" s="966"/>
      <c r="T44" s="852" t="s">
        <v>2188</v>
      </c>
      <c r="U44" s="852" t="s">
        <v>2188</v>
      </c>
      <c r="V44" s="852" t="s">
        <v>2188</v>
      </c>
      <c r="W44" s="852" t="s">
        <v>2188</v>
      </c>
      <c r="X44" s="852"/>
      <c r="Y44" s="1009"/>
      <c r="Z44" s="855" t="s">
        <v>2200</v>
      </c>
      <c r="AA44" s="855" t="s">
        <v>2200</v>
      </c>
      <c r="AB44" s="855" t="s">
        <v>2200</v>
      </c>
      <c r="AC44" s="855" t="s">
        <v>2200</v>
      </c>
      <c r="AD44" s="855"/>
    </row>
    <row customHeight="1" ht="27">
      <c r="A45" s="854"/>
      <c r="B45" s="908">
        <v>28</v>
      </c>
      <c r="C45" s="852" t="s">
        <v>2201</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2202</v>
      </c>
      <c r="P45" s="966" t="s">
        <v>2203</v>
      </c>
      <c r="Q45" s="966" t="s">
        <v>2202</v>
      </c>
      <c r="R45" s="966" t="s">
        <v>2203</v>
      </c>
      <c r="S45" s="966"/>
      <c r="T45" s="852" t="s">
        <v>2192</v>
      </c>
      <c r="U45" s="852" t="s">
        <v>2192</v>
      </c>
      <c r="V45" s="852" t="s">
        <v>2192</v>
      </c>
      <c r="W45" s="852" t="s">
        <v>2192</v>
      </c>
      <c r="X45" s="852"/>
      <c r="Y45" s="1009"/>
      <c r="Z45" s="855" t="s">
        <v>2204</v>
      </c>
      <c r="AA45" s="855" t="s">
        <v>2204</v>
      </c>
      <c r="AB45" s="855" t="s">
        <v>2204</v>
      </c>
      <c r="AC45" s="855" t="s">
        <v>2204</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средств</v>
      </c>
      <c r="N46" s="853"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2205</v>
      </c>
      <c r="P46" s="966" t="s">
        <v>2183</v>
      </c>
      <c r="Q46" s="966" t="s">
        <v>2205</v>
      </c>
      <c r="R46" s="966" t="s">
        <v>2183</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2" t="s">
        <v>2206</v>
      </c>
      <c r="V46" s="852" t="s">
        <v>2206</v>
      </c>
      <c r="W46" s="852" t="s">
        <v>2206</v>
      </c>
      <c r="X46" s="852"/>
      <c r="Y46" s="1009"/>
      <c r="Z46" s="855" t="s">
        <v>2207</v>
      </c>
      <c r="AA46" s="855" t="s">
        <v>2208</v>
      </c>
      <c r="AB46" s="855" t="s">
        <v>2208</v>
      </c>
      <c r="AC46" s="855" t="s">
        <v>2208</v>
      </c>
      <c r="AD46" s="855"/>
    </row>
    <row customHeight="1" ht="54">
      <c r="A47" s="854"/>
      <c r="B47" s="908">
        <v>30</v>
      </c>
      <c r="C47" s="852" t="s">
        <v>2209</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2210</v>
      </c>
      <c r="P47" s="966" t="s">
        <v>2187</v>
      </c>
      <c r="Q47" s="966" t="s">
        <v>2210</v>
      </c>
      <c r="R47" s="966" t="s">
        <v>2187</v>
      </c>
      <c r="S47" s="966"/>
      <c r="T47" s="852" t="s">
        <v>2211</v>
      </c>
      <c r="U47" s="852" t="s">
        <v>2211</v>
      </c>
      <c r="V47" s="852" t="s">
        <v>2211</v>
      </c>
      <c r="W47" s="852" t="s">
        <v>2211</v>
      </c>
      <c r="X47" s="852"/>
      <c r="Y47" s="1009"/>
      <c r="Z47" s="855"/>
      <c r="AA47" s="858"/>
      <c r="AB47" s="858"/>
      <c r="AC47" s="858"/>
      <c r="AD47" s="855"/>
    </row>
    <row customHeight="1" ht="54">
      <c r="A48" s="854"/>
      <c r="B48" s="908">
        <v>31</v>
      </c>
      <c r="C48" s="852">
        <v>16</v>
      </c>
      <c r="D48" s="976"/>
      <c r="E48" s="852"/>
      <c r="F48" s="852"/>
      <c r="G48" s="852"/>
      <c r="H48" s="900"/>
      <c r="I48" s="1014">
        <f>INDEX(TEMPLATE_NUMBER_POINT_FHD,B48,MATCH(TEMPLATE_SPHERE,TEMPLATE_SPHERE_LIST_FOR_NOTE,0))</f>
        <v>0</v>
      </c>
      <c r="J48" s="1014">
        <f>INDEX(TEMPLATE_DATA_POINT_FHD,B48,MATCH(TEMPLATE_SPHERE,TEMPLATE_SPHERE_LIST_FOR_NOTE,0))</f>
        <v>0</v>
      </c>
      <c r="K48" s="1014">
        <f>INDEX(TEMPLATE_NOTE_POINT_FHD,B48,MATCH(TEMPLATE_SPHERE,TEMPLATE_SPHERE_LIST_FOR_NOTE,0))</f>
        <v>0</v>
      </c>
      <c r="L48" s="853" t="str">
        <f>IF(I48=0,"",I48)</f>
        <v/>
      </c>
      <c r="M48" s="853" t="str">
        <f>IF(J48=0,"",J48)</f>
        <v/>
      </c>
      <c r="N48" s="853" t="str">
        <f>IF(K48=0,"",K48)</f>
        <v/>
      </c>
      <c r="O48" s="966"/>
      <c r="P48" s="966" t="s">
        <v>2194</v>
      </c>
      <c r="Q48" s="966" t="s">
        <v>2212</v>
      </c>
      <c r="R48" s="966" t="s">
        <v>2194</v>
      </c>
      <c r="S48" s="966"/>
      <c r="T48" s="852"/>
      <c r="U48" s="852" t="s">
        <v>2213</v>
      </c>
      <c r="V48" s="852" t="s">
        <v>2214</v>
      </c>
      <c r="W48" s="852" t="s">
        <v>2214</v>
      </c>
      <c r="X48" s="852"/>
      <c r="Y48" s="1009"/>
      <c r="Z48" s="855"/>
      <c r="AA48" s="858" t="s">
        <v>2208</v>
      </c>
      <c r="AB48" s="858" t="s">
        <v>2208</v>
      </c>
      <c r="AC48" s="858" t="s">
        <v>2208</v>
      </c>
      <c r="AD48" s="855"/>
    </row>
    <row customHeight="1" ht="54">
      <c r="A49" s="854"/>
      <c r="B49" s="908">
        <v>32</v>
      </c>
      <c r="C49" s="852" t="s">
        <v>2215</v>
      </c>
      <c r="D49" s="976"/>
      <c r="E49" s="852"/>
      <c r="F49" s="852"/>
      <c r="G49" s="852"/>
      <c r="H49" s="900"/>
      <c r="I49" s="1014">
        <f>INDEX(TEMPLATE_NUMBER_POINT_FHD,B49,MATCH(TEMPLATE_SPHERE,TEMPLATE_SPHERE_LIST_FOR_NOTE,0))</f>
        <v>0</v>
      </c>
      <c r="J49" s="1014">
        <f>INDEX(TEMPLATE_DATA_POINT_FHD,B49,MATCH(TEMPLATE_SPHERE,TEMPLATE_SPHERE_LIST_FOR_NOTE,0))</f>
        <v>0</v>
      </c>
      <c r="K49" s="1014">
        <f>INDEX(TEMPLATE_NOTE_POINT_FHD,B49,MATCH(TEMPLATE_SPHERE,TEMPLATE_SPHERE_LIST_FOR_NOTE,0))</f>
        <v>0</v>
      </c>
      <c r="L49" s="853" t="str">
        <f>IF(I49=0,"",I49)</f>
        <v/>
      </c>
      <c r="M49" s="853" t="str">
        <f>IF(J49=0,"",J49)</f>
        <v/>
      </c>
      <c r="N49" s="853" t="str">
        <f>IF(K49=0,"",K49)</f>
        <v/>
      </c>
      <c r="O49" s="966"/>
      <c r="P49" s="966" t="s">
        <v>2198</v>
      </c>
      <c r="Q49" s="966" t="s">
        <v>2216</v>
      </c>
      <c r="R49" s="966" t="s">
        <v>2198</v>
      </c>
      <c r="S49" s="966"/>
      <c r="T49" s="852"/>
      <c r="U49" s="852" t="s">
        <v>2211</v>
      </c>
      <c r="V49" s="852" t="s">
        <v>2211</v>
      </c>
      <c r="W49" s="852" t="s">
        <v>2211</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2.13</v>
      </c>
      <c r="J50" s="1014"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3" t="str">
        <f>IF(I50=0,"",I50)</f>
        <v>2.13</v>
      </c>
      <c r="M50" s="853"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3"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6" t="s">
        <v>2212</v>
      </c>
      <c r="P50" s="966" t="s">
        <v>2205</v>
      </c>
      <c r="Q50" s="966" t="s">
        <v>2217</v>
      </c>
      <c r="R50" s="966" t="s">
        <v>2205</v>
      </c>
      <c r="S50" s="966"/>
      <c r="T50" s="852" t="s">
        <v>2218</v>
      </c>
      <c r="U50" s="852" t="s">
        <v>2219</v>
      </c>
      <c r="V50" s="852" t="s">
        <v>2220</v>
      </c>
      <c r="W50" s="852" t="s">
        <v>2221</v>
      </c>
      <c r="X50" s="852"/>
      <c r="Y50" s="1009"/>
      <c r="Z50" s="855" t="s">
        <v>2222</v>
      </c>
      <c r="AA50" s="858" t="s">
        <v>2223</v>
      </c>
      <c r="AB50" s="858" t="s">
        <v>2223</v>
      </c>
      <c r="AC50" s="858" t="s">
        <v>2223</v>
      </c>
      <c r="AD50" s="855"/>
    </row>
    <row customHeight="1" ht="27">
      <c r="A51" s="854"/>
      <c r="B51" s="908">
        <v>34</v>
      </c>
      <c r="C51" s="852" t="s">
        <v>2224</v>
      </c>
      <c r="D51" s="976"/>
      <c r="E51" s="852"/>
      <c r="F51" s="852"/>
      <c r="G51" s="852"/>
      <c r="H51" s="900"/>
      <c r="I51" s="1014" t="str">
        <f>INDEX(TEMPLATE_NUMBER_POINT_FHD,B51,MATCH(TEMPLATE_SPHERE,TEMPLATE_SPHERE_LIST_FOR_NOTE,0))</f>
        <v>3</v>
      </c>
      <c r="J51" s="1014"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4">
        <f>INDEX(TEMPLATE_NOTE_POINT_FHD,B51,MATCH(TEMPLATE_SPHERE,TEMPLATE_SPHERE_LIST_FOR_NOTE,0))</f>
        <v>0</v>
      </c>
      <c r="L51" s="853" t="str">
        <f>IF(I51=0,"",I51)</f>
        <v>3</v>
      </c>
      <c r="M51" s="853" t="str">
        <f>IF(J51=0,"",J51)</f>
        <v>Валовая прибыль (убытки) от реализации товаров и оказания услуг по регулируемому виду деятельности</v>
      </c>
      <c r="N51" s="853" t="str">
        <f>IF(K51=0,"",K51)</f>
        <v/>
      </c>
      <c r="O51" s="966" t="s">
        <v>90</v>
      </c>
      <c r="P51" s="966"/>
      <c r="Q51" s="966"/>
      <c r="R51" s="966"/>
      <c r="S51" s="966"/>
      <c r="T51" s="852" t="s">
        <v>2225</v>
      </c>
      <c r="U51" s="852"/>
      <c r="V51" s="852"/>
      <c r="W51" s="852"/>
      <c r="X51" s="852"/>
      <c r="Y51" s="1009"/>
      <c r="Z51" s="855"/>
      <c r="AA51" s="858"/>
      <c r="AB51" s="858"/>
      <c r="AC51" s="858"/>
      <c r="AD51" s="855"/>
    </row>
    <row customHeight="1" ht="36">
      <c r="A52" s="854"/>
      <c r="B52" s="908">
        <v>35</v>
      </c>
      <c r="C52" s="852" t="s">
        <v>2118</v>
      </c>
      <c r="D52" s="976" t="s">
        <v>2118</v>
      </c>
      <c r="E52" s="852" t="s">
        <v>2118</v>
      </c>
      <c r="F52" s="852" t="s">
        <v>2118</v>
      </c>
      <c r="G52" s="852"/>
      <c r="H52" s="900"/>
      <c r="I52" s="1014" t="str">
        <f>INDEX(TEMPLATE_NUMBER_POINT_FHD,B52,MATCH(TEMPLATE_SPHERE,TEMPLATE_SPHERE_LIST_FOR_NOTE,0))</f>
        <v>4</v>
      </c>
      <c r="J52" s="1014" t="str">
        <f>INDEX(TEMPLATE_DATA_POINT_FHD,B52,MATCH(TEMPLATE_SPHERE,TEMPLATE_SPHERE_LIST_FOR_NOTE,0))</f>
        <v>Чистая прибыль, полученная от регулируемого вида деятельности,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4</v>
      </c>
      <c r="M52" s="853" t="str">
        <f>IF(J52=0,"",J52)</f>
        <v>Чистая прибыль, полученная от регулируемого вида деятельности, в том числе:</v>
      </c>
      <c r="N52" s="853" t="str">
        <f>IF(K52=0,"",K52)</f>
        <v>Указывается общая сумма чистой прибыли, полученной от регулируемого вида деятельности.</v>
      </c>
      <c r="O52" s="966" t="s">
        <v>91</v>
      </c>
      <c r="P52" s="966" t="s">
        <v>90</v>
      </c>
      <c r="Q52" s="966" t="s">
        <v>90</v>
      </c>
      <c r="R52" s="966" t="s">
        <v>90</v>
      </c>
      <c r="S52" s="966"/>
      <c r="T52" s="852" t="s">
        <v>2226</v>
      </c>
      <c r="U52" s="852" t="s">
        <v>2227</v>
      </c>
      <c r="V52" s="852" t="s">
        <v>2228</v>
      </c>
      <c r="W52" s="852" t="s">
        <v>2229</v>
      </c>
      <c r="X52" s="852"/>
      <c r="Y52" s="1009"/>
      <c r="Z52" s="855" t="s">
        <v>852</v>
      </c>
      <c r="AA52" s="858" t="s">
        <v>852</v>
      </c>
      <c r="AB52" s="858" t="s">
        <v>852</v>
      </c>
      <c r="AC52" s="858" t="s">
        <v>852</v>
      </c>
      <c r="AD52" s="855"/>
    </row>
    <row customHeight="1" ht="36">
      <c r="A53" s="854"/>
      <c r="B53" s="908">
        <v>36</v>
      </c>
      <c r="C53" s="852">
        <v>1</v>
      </c>
      <c r="D53" s="976"/>
      <c r="E53" s="852"/>
      <c r="F53" s="852"/>
      <c r="G53" s="852"/>
      <c r="H53" s="900"/>
      <c r="I53" s="1014" t="str">
        <f>INDEX(TEMPLATE_NUMBER_POINT_FHD,B53,MATCH(TEMPLATE_SPHERE,TEMPLATE_SPHERE_LIST_FOR_NOTE,0))</f>
        <v>4.1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4.1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856</v>
      </c>
      <c r="P53" s="966" t="s">
        <v>397</v>
      </c>
      <c r="Q53" s="966" t="s">
        <v>397</v>
      </c>
      <c r="R53" s="966" t="s">
        <v>397</v>
      </c>
      <c r="S53" s="966"/>
      <c r="T53" s="852" t="s">
        <v>2230</v>
      </c>
      <c r="U53" s="852" t="s">
        <v>2230</v>
      </c>
      <c r="V53" s="852" t="s">
        <v>2230</v>
      </c>
      <c r="W53" s="852" t="s">
        <v>2230</v>
      </c>
      <c r="X53" s="852"/>
      <c r="Y53" s="1009"/>
      <c r="Z53" s="855"/>
      <c r="AA53" s="858"/>
      <c r="AB53" s="855"/>
      <c r="AC53" s="855"/>
      <c r="AD53" s="855"/>
    </row>
    <row customHeight="1" ht="18">
      <c r="A54" s="854"/>
      <c r="B54" s="908">
        <v>37</v>
      </c>
      <c r="C54" s="852" t="s">
        <v>2124</v>
      </c>
      <c r="D54" s="976" t="s">
        <v>2124</v>
      </c>
      <c r="E54" s="852" t="s">
        <v>2124</v>
      </c>
      <c r="F54" s="852" t="s">
        <v>2124</v>
      </c>
      <c r="G54" s="852"/>
      <c r="H54" s="900"/>
      <c r="I54" s="1014" t="str">
        <f>INDEX(TEMPLATE_NUMBER_POINT_FHD,B54,MATCH(TEMPLATE_SPHERE,TEMPLATE_SPHERE_LIST_FOR_NOTE,0))</f>
        <v>5</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5</v>
      </c>
      <c r="M54" s="853" t="str">
        <f>IF(J54=0,"",J54)</f>
        <v>Изменение стоимости основных фондов, в том числе:</v>
      </c>
      <c r="N54" s="853" t="str">
        <f>IF(K54=0,"",K54)</f>
        <v>Указывается общее изменение стоимости основных фондов.</v>
      </c>
      <c r="O54" s="966" t="s">
        <v>111</v>
      </c>
      <c r="P54" s="966" t="s">
        <v>91</v>
      </c>
      <c r="Q54" s="966" t="s">
        <v>91</v>
      </c>
      <c r="R54" s="966" t="s">
        <v>91</v>
      </c>
      <c r="S54" s="966"/>
      <c r="T54" s="852" t="s">
        <v>854</v>
      </c>
      <c r="U54" s="852" t="s">
        <v>854</v>
      </c>
      <c r="V54" s="852" t="s">
        <v>854</v>
      </c>
      <c r="W54" s="852" t="s">
        <v>854</v>
      </c>
      <c r="X54" s="852"/>
      <c r="Y54" s="1009"/>
      <c r="Z54" s="855" t="s">
        <v>855</v>
      </c>
      <c r="AA54" s="855" t="s">
        <v>855</v>
      </c>
      <c r="AB54" s="855" t="s">
        <v>855</v>
      </c>
      <c r="AC54" s="855" t="s">
        <v>855</v>
      </c>
      <c r="AD54" s="855"/>
    </row>
    <row customHeight="1" ht="36">
      <c r="A55" s="854"/>
      <c r="B55" s="908">
        <v>38</v>
      </c>
      <c r="C55" s="852">
        <v>1</v>
      </c>
      <c r="D55" s="976"/>
      <c r="E55" s="852"/>
      <c r="F55" s="852"/>
      <c r="G55" s="852"/>
      <c r="H55" s="900"/>
      <c r="I55" s="1014" t="str">
        <f>INDEX(TEMPLATE_NUMBER_POINT_FHD,B55,MATCH(TEMPLATE_SPHERE,TEMPLATE_SPHERE_LIST_FOR_NOTE,0))</f>
        <v>5.1</v>
      </c>
      <c r="J55" s="1014" t="str">
        <f>INDEX(TEMPLATE_DATA_POINT_FHD,B55,MATCH(TEMPLATE_SPHERE,TEMPLATE_SPHERE_LIST_FOR_NOTE,0))</f>
        <v>Изменение стоимости основных фондов за счет:</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5.1</v>
      </c>
      <c r="M55" s="853" t="str">
        <f>IF(J55=0,"",J55)</f>
        <v>Изменение стоимости основных фондов за счет:</v>
      </c>
      <c r="N55" s="853" t="str">
        <f>IF(K55=0,"",K55)</f>
        <v>Указываются общее изменение стоимости основных фондов за счет их ввода в эксплуатацию и вывода из эксплуатации.</v>
      </c>
      <c r="O55" s="966" t="s">
        <v>386</v>
      </c>
      <c r="P55" s="966" t="s">
        <v>856</v>
      </c>
      <c r="Q55" s="966" t="s">
        <v>856</v>
      </c>
      <c r="R55" s="966" t="s">
        <v>856</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2" t="s">
        <v>2231</v>
      </c>
      <c r="V55" s="852" t="s">
        <v>2231</v>
      </c>
      <c r="W55" s="852" t="s">
        <v>2231</v>
      </c>
      <c r="X55" s="852"/>
      <c r="Y55" s="1009"/>
      <c r="Z55" s="855" t="s">
        <v>2232</v>
      </c>
      <c r="AA55" s="855" t="s">
        <v>2232</v>
      </c>
      <c r="AB55" s="855" t="s">
        <v>2232</v>
      </c>
      <c r="AC55" s="855" t="s">
        <v>2232</v>
      </c>
      <c r="AD55" s="855"/>
    </row>
    <row customHeight="1" ht="27">
      <c r="A56" s="854"/>
      <c r="B56" s="908">
        <v>39</v>
      </c>
      <c r="C56" s="852" t="s">
        <v>1124</v>
      </c>
      <c r="D56" s="976"/>
      <c r="E56" s="852"/>
      <c r="F56" s="852"/>
      <c r="G56" s="852"/>
      <c r="H56" s="900"/>
      <c r="I56" s="1014" t="str">
        <f>INDEX(TEMPLATE_NUMBER_POINT_FHD,B56,MATCH(TEMPLATE_SPHERE,TEMPLATE_SPHERE_LIST_FOR_NOTE,0))</f>
        <v>5.1.1</v>
      </c>
      <c r="J56" s="1014" t="str">
        <f>INDEX(TEMPLATE_DATA_POINT_FHD,B56,MATCH(TEMPLATE_SPHERE,TEMPLATE_SPHERE_LIST_FOR_NOTE,0))</f>
        <v>Изменения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5.1.1</v>
      </c>
      <c r="M56" s="853" t="str">
        <f>IF(J56=0,"",J56)</f>
        <v>Изменения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1242</v>
      </c>
      <c r="P56" s="966" t="s">
        <v>859</v>
      </c>
      <c r="Q56" s="966" t="s">
        <v>859</v>
      </c>
      <c r="R56" s="966" t="s">
        <v>859</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2" t="s">
        <v>2233</v>
      </c>
      <c r="V56" s="852" t="s">
        <v>2233</v>
      </c>
      <c r="W56" s="852" t="s">
        <v>2233</v>
      </c>
      <c r="X56" s="852"/>
      <c r="Y56" s="1009"/>
      <c r="Z56" s="855" t="s">
        <v>861</v>
      </c>
      <c r="AA56" s="855" t="s">
        <v>861</v>
      </c>
      <c r="AB56" s="855" t="s">
        <v>861</v>
      </c>
      <c r="AC56" s="855" t="s">
        <v>861</v>
      </c>
      <c r="AD56" s="855"/>
    </row>
    <row customHeight="1" ht="27">
      <c r="A57" s="854"/>
      <c r="B57" s="908">
        <v>40</v>
      </c>
      <c r="C57" s="852" t="s">
        <v>1126</v>
      </c>
      <c r="D57" s="976"/>
      <c r="E57" s="852"/>
      <c r="F57" s="852"/>
      <c r="G57" s="852"/>
      <c r="H57" s="900"/>
      <c r="I57" s="1014" t="str">
        <f>INDEX(TEMPLATE_NUMBER_POINT_FHD,B57,MATCH(TEMPLATE_SPHERE,TEMPLATE_SPHERE_LIST_FOR_NOTE,0))</f>
        <v>5.1.2</v>
      </c>
      <c r="J57" s="1014" t="str">
        <f>INDEX(TEMPLATE_DATA_POINT_FHD,B57,MATCH(TEMPLATE_SPHERE,TEMPLATE_SPHERE_LIST_FOR_NOTE,0))</f>
        <v>Изменения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5.1.2</v>
      </c>
      <c r="M57" s="853" t="str">
        <f>IF(J57=0,"",J57)</f>
        <v>Изменения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2234</v>
      </c>
      <c r="P57" s="966" t="s">
        <v>862</v>
      </c>
      <c r="Q57" s="966" t="s">
        <v>862</v>
      </c>
      <c r="R57" s="966" t="s">
        <v>862</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2" t="s">
        <v>2235</v>
      </c>
      <c r="V57" s="852" t="s">
        <v>2235</v>
      </c>
      <c r="W57" s="852" t="s">
        <v>2235</v>
      </c>
      <c r="X57" s="852"/>
      <c r="Y57" s="1009"/>
      <c r="Z57" s="855" t="s">
        <v>864</v>
      </c>
      <c r="AA57" s="855" t="s">
        <v>864</v>
      </c>
      <c r="AB57" s="855" t="s">
        <v>864</v>
      </c>
      <c r="AC57" s="855" t="s">
        <v>864</v>
      </c>
      <c r="AD57" s="855"/>
    </row>
    <row customHeight="1" ht="18">
      <c r="A58" s="854"/>
      <c r="B58" s="908">
        <v>41</v>
      </c>
      <c r="C58" s="852">
        <v>2</v>
      </c>
      <c r="D58" s="976"/>
      <c r="E58" s="852"/>
      <c r="F58" s="852"/>
      <c r="G58" s="852"/>
      <c r="H58" s="900"/>
      <c r="I58" s="1014" t="str">
        <f>INDEX(TEMPLATE_NUMBER_POINT_FHD,B58,MATCH(TEMPLATE_SPHERE,TEMPLATE_SPHERE_LIST_FOR_NOTE,0))</f>
        <v>5.2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5.2</v>
      </c>
      <c r="M58" s="853" t="str">
        <f>IF(J58=0,"",J58)</f>
        <v>Изменение стоимости основных фондов за счет их переоценки</v>
      </c>
      <c r="N58" s="853" t="str">
        <f>IF(K58=0,"",K58)</f>
        <v/>
      </c>
      <c r="O58" s="966" t="s">
        <v>984</v>
      </c>
      <c r="P58" s="966" t="s">
        <v>898</v>
      </c>
      <c r="Q58" s="966" t="s">
        <v>898</v>
      </c>
      <c r="R58" s="966" t="s">
        <v>898</v>
      </c>
      <c r="S58" s="966"/>
      <c r="T58" s="85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2" t="s">
        <v>2236</v>
      </c>
      <c r="V58" s="852" t="s">
        <v>2236</v>
      </c>
      <c r="W58" s="852" t="s">
        <v>2236</v>
      </c>
      <c r="X58" s="852"/>
      <c r="Y58" s="1009"/>
      <c r="Z58" s="855"/>
      <c r="AA58" s="858"/>
      <c r="AB58" s="855"/>
      <c r="AC58" s="855"/>
      <c r="AD58" s="855"/>
    </row>
    <row customHeight="1" ht="36">
      <c r="A59" s="854"/>
      <c r="B59" s="908">
        <v>42</v>
      </c>
      <c r="C59" s="852">
        <v>3</v>
      </c>
      <c r="D59" s="976" t="s">
        <v>2224</v>
      </c>
      <c r="E59" s="852" t="s">
        <v>2224</v>
      </c>
      <c r="F59" s="852" t="s">
        <v>2224</v>
      </c>
      <c r="G59" s="852"/>
      <c r="H59" s="900"/>
      <c r="I59" s="1014">
        <f>INDEX(TEMPLATE_NUMBER_POINT_FHD,B59,MATCH(TEMPLATE_SPHERE,TEMPLATE_SPHERE_LIST_FOR_NOTE,0))</f>
        <v>0</v>
      </c>
      <c r="J59" s="1014">
        <f>INDEX(TEMPLATE_DATA_POINT_FHD,B59,MATCH(TEMPLATE_SPHERE,TEMPLATE_SPHERE_LIST_FOR_NOTE,0))</f>
        <v>0</v>
      </c>
      <c r="K59" s="1014">
        <f>INDEX(TEMPLATE_NOTE_POINT_FHD,B59,MATCH(TEMPLATE_SPHERE,TEMPLATE_SPHERE_LIST_FOR_NOTE,0))</f>
        <v>0</v>
      </c>
      <c r="L59" s="853" t="str">
        <f>IF(I59=0,"",I59)</f>
        <v/>
      </c>
      <c r="M59" s="853" t="str">
        <f>IF(J59=0,"",J59)</f>
        <v/>
      </c>
      <c r="N59" s="853" t="str">
        <f>IF(K59=0,"",K59)</f>
        <v/>
      </c>
      <c r="O59" s="966"/>
      <c r="P59" s="966" t="s">
        <v>111</v>
      </c>
      <c r="Q59" s="966" t="s">
        <v>111</v>
      </c>
      <c r="R59" s="966" t="s">
        <v>111</v>
      </c>
      <c r="S59" s="966"/>
      <c r="T59" s="852"/>
      <c r="U59" s="852" t="s">
        <v>2237</v>
      </c>
      <c r="V59" s="852" t="s">
        <v>2238</v>
      </c>
      <c r="W59" s="852" t="s">
        <v>2239</v>
      </c>
      <c r="X59" s="852"/>
      <c r="Y59" s="1009"/>
      <c r="Z59" s="855"/>
      <c r="AA59" s="858"/>
      <c r="AB59" s="855"/>
      <c r="AC59" s="855"/>
      <c r="AD59" s="855"/>
    </row>
    <row customHeight="1" ht="81">
      <c r="A60" s="854"/>
      <c r="B60" s="908">
        <v>43</v>
      </c>
      <c r="C60" s="852" t="s">
        <v>2240</v>
      </c>
      <c r="D60" s="976" t="s">
        <v>2240</v>
      </c>
      <c r="E60" s="852" t="s">
        <v>2240</v>
      </c>
      <c r="F60" s="852" t="s">
        <v>2240</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6" t="s">
        <v>92</v>
      </c>
      <c r="P60" s="966" t="s">
        <v>92</v>
      </c>
      <c r="Q60" s="966" t="s">
        <v>92</v>
      </c>
      <c r="R60" s="966" t="s">
        <v>92</v>
      </c>
      <c r="S60" s="966"/>
      <c r="T60" s="852" t="s">
        <v>732</v>
      </c>
      <c r="U60" s="852" t="s">
        <v>732</v>
      </c>
      <c r="V60" s="852" t="s">
        <v>732</v>
      </c>
      <c r="W60" s="852" t="s">
        <v>732</v>
      </c>
      <c r="X60" s="852"/>
      <c r="Y60" s="1009"/>
      <c r="Z60" s="855" t="s">
        <v>2241</v>
      </c>
      <c r="AA60" s="858" t="s">
        <v>2242</v>
      </c>
      <c r="AB60" s="855" t="s">
        <v>2243</v>
      </c>
      <c r="AC60" s="855" t="s">
        <v>2242</v>
      </c>
      <c r="AD60" s="855"/>
    </row>
    <row customHeight="1" ht="9">
      <c r="A61" s="854"/>
      <c r="B61" s="908">
        <v>44</v>
      </c>
      <c r="C61" s="852"/>
      <c r="D61" s="976" t="s">
        <v>2244</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93</v>
      </c>
      <c r="Q61" s="966"/>
      <c r="R61" s="966"/>
      <c r="S61" s="966"/>
      <c r="T61" s="852"/>
      <c r="U61" s="852" t="s">
        <v>2245</v>
      </c>
      <c r="V61" s="852"/>
      <c r="W61" s="852"/>
      <c r="X61" s="852"/>
      <c r="Y61" s="1009"/>
      <c r="Z61" s="855"/>
      <c r="AA61" s="858"/>
      <c r="AB61" s="855"/>
      <c r="AC61" s="855"/>
      <c r="AD61" s="855"/>
    </row>
    <row customHeight="1" ht="9">
      <c r="A62" s="854"/>
      <c r="B62" s="908">
        <v>45</v>
      </c>
      <c r="C62" s="852"/>
      <c r="D62" s="976" t="s">
        <v>2246</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112</v>
      </c>
      <c r="Q62" s="966"/>
      <c r="R62" s="966"/>
      <c r="S62" s="966"/>
      <c r="T62" s="852"/>
      <c r="U62" s="852" t="s">
        <v>2247</v>
      </c>
      <c r="V62" s="852"/>
      <c r="W62" s="852"/>
      <c r="X62" s="852"/>
      <c r="Y62" s="1009"/>
      <c r="Z62" s="855"/>
      <c r="AA62" s="858"/>
      <c r="AB62" s="855"/>
      <c r="AC62" s="855"/>
      <c r="AD62" s="855"/>
    </row>
    <row customHeight="1" ht="18">
      <c r="A63" s="854"/>
      <c r="B63" s="908">
        <v>46</v>
      </c>
      <c r="C63" s="852"/>
      <c r="D63" s="976" t="s">
        <v>2248</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136</v>
      </c>
      <c r="Q63" s="966"/>
      <c r="R63" s="966"/>
      <c r="S63" s="966"/>
      <c r="T63" s="852"/>
      <c r="U63" s="852" t="s">
        <v>2249</v>
      </c>
      <c r="V63" s="852"/>
      <c r="W63" s="852"/>
      <c r="X63" s="852"/>
      <c r="Y63" s="1009"/>
      <c r="Z63" s="855"/>
      <c r="AA63" s="858"/>
      <c r="AB63" s="855"/>
      <c r="AC63" s="855"/>
      <c r="AD63" s="855"/>
    </row>
    <row customHeight="1" ht="18">
      <c r="A64" s="854"/>
      <c r="B64" s="908">
        <v>47</v>
      </c>
      <c r="C64" s="852"/>
      <c r="D64" s="976" t="s">
        <v>2250</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139</v>
      </c>
      <c r="Q64" s="966"/>
      <c r="R64" s="966"/>
      <c r="S64" s="966"/>
      <c r="T64" s="852"/>
      <c r="U64" s="852" t="s">
        <v>2251</v>
      </c>
      <c r="V64" s="852"/>
      <c r="W64" s="852"/>
      <c r="X64" s="852"/>
      <c r="Y64" s="1009"/>
      <c r="Z64" s="855"/>
      <c r="AA64" s="858" t="s">
        <v>2252</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2165</v>
      </c>
      <c r="Q65" s="966"/>
      <c r="R65" s="966"/>
      <c r="S65" s="966"/>
      <c r="T65" s="852"/>
      <c r="U65" s="852" t="s">
        <v>2253</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2169</v>
      </c>
      <c r="Q66" s="966"/>
      <c r="R66" s="966"/>
      <c r="S66" s="966"/>
      <c r="T66" s="852"/>
      <c r="U66" s="852" t="s">
        <v>2254</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2255</v>
      </c>
      <c r="Q67" s="966"/>
      <c r="R67" s="966"/>
      <c r="S67" s="966"/>
      <c r="T67" s="852"/>
      <c r="U67" s="852" t="s">
        <v>2256</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2257</v>
      </c>
      <c r="Q68" s="966"/>
      <c r="R68" s="966"/>
      <c r="S68" s="966"/>
      <c r="T68" s="852"/>
      <c r="U68" s="852" t="s">
        <v>2258</v>
      </c>
      <c r="V68" s="852"/>
      <c r="W68" s="852"/>
      <c r="X68" s="852"/>
      <c r="Y68" s="1009"/>
      <c r="Z68" s="855"/>
      <c r="AA68" s="858"/>
      <c r="AB68" s="855"/>
      <c r="AC68" s="855"/>
      <c r="AD68" s="855"/>
    </row>
    <row customHeight="1" ht="9">
      <c r="A69" s="854"/>
      <c r="B69" s="908">
        <v>52</v>
      </c>
      <c r="C69" s="852"/>
      <c r="D69" s="976" t="s">
        <v>2259</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142</v>
      </c>
      <c r="Q69" s="966"/>
      <c r="R69" s="966"/>
      <c r="S69" s="966"/>
      <c r="T69" s="852"/>
      <c r="U69" s="852" t="s">
        <v>2260</v>
      </c>
      <c r="V69" s="852"/>
      <c r="W69" s="852"/>
      <c r="X69" s="852"/>
      <c r="Y69" s="1009"/>
      <c r="Z69" s="855"/>
      <c r="AA69" s="858"/>
      <c r="AB69" s="855"/>
      <c r="AC69" s="855"/>
      <c r="AD69" s="855"/>
    </row>
    <row customHeight="1" ht="27">
      <c r="A70" s="854"/>
      <c r="B70" s="908">
        <v>53</v>
      </c>
      <c r="C70" s="852"/>
      <c r="D70" s="976"/>
      <c r="E70" s="852" t="s">
        <v>2244</v>
      </c>
      <c r="F70" s="852"/>
      <c r="G70" s="852"/>
      <c r="H70" s="900"/>
      <c r="I70" s="1014">
        <f>INDEX(TEMPLATE_NUMBER_POINT_FHD,B70,MATCH(TEMPLATE_SPHERE,TEMPLATE_SPHERE_LIST_FOR_NOTE,0))</f>
        <v>0</v>
      </c>
      <c r="J70" s="1014">
        <f>INDEX(TEMPLATE_DATA_POINT_FHD,B70,MATCH(TEMPLATE_SPHERE,TEMPLATE_SPHERE_LIST_FOR_NOTE,0))</f>
        <v>0</v>
      </c>
      <c r="K70" s="1014">
        <f>INDEX(TEMPLATE_NOTE_POINT_FHD,B70,MATCH(TEMPLATE_SPHERE,TEMPLATE_SPHERE_LIST_FOR_NOTE,0))</f>
        <v>0</v>
      </c>
      <c r="L70" s="853" t="str">
        <f>IF(I70=0,"",I70)</f>
        <v/>
      </c>
      <c r="M70" s="853" t="str">
        <f>IF(J70=0,"",J70)</f>
        <v/>
      </c>
      <c r="N70" s="853" t="str">
        <f>IF(K70=0,"",K70)</f>
        <v/>
      </c>
      <c r="O70" s="966"/>
      <c r="P70" s="966"/>
      <c r="Q70" s="966" t="s">
        <v>93</v>
      </c>
      <c r="R70" s="966"/>
      <c r="S70" s="966"/>
      <c r="T70" s="852"/>
      <c r="U70" s="852"/>
      <c r="V70" s="852" t="s">
        <v>2261</v>
      </c>
      <c r="W70" s="852"/>
      <c r="X70" s="852"/>
      <c r="Y70" s="1009"/>
      <c r="Z70" s="855"/>
      <c r="AA70" s="858"/>
      <c r="AB70" s="855"/>
      <c r="AC70" s="855"/>
      <c r="AD70" s="855"/>
    </row>
    <row customHeight="1" ht="36">
      <c r="A71" s="854"/>
      <c r="B71" s="908">
        <v>54</v>
      </c>
      <c r="C71" s="852"/>
      <c r="D71" s="976"/>
      <c r="E71" s="852" t="s">
        <v>2246</v>
      </c>
      <c r="F71" s="852"/>
      <c r="G71" s="852"/>
      <c r="H71" s="900"/>
      <c r="I71" s="1014">
        <f>INDEX(TEMPLATE_NUMBER_POINT_FHD,B71,MATCH(TEMPLATE_SPHERE,TEMPLATE_SPHERE_LIST_FOR_NOTE,0))</f>
        <v>0</v>
      </c>
      <c r="J71" s="1014">
        <f>INDEX(TEMPLATE_DATA_POINT_FHD,B71,MATCH(TEMPLATE_SPHERE,TEMPLATE_SPHERE_LIST_FOR_NOTE,0))</f>
        <v>0</v>
      </c>
      <c r="K71" s="1014">
        <f>INDEX(TEMPLATE_NOTE_POINT_FHD,B71,MATCH(TEMPLATE_SPHERE,TEMPLATE_SPHERE_LIST_FOR_NOTE,0))</f>
        <v>0</v>
      </c>
      <c r="L71" s="853" t="str">
        <f>IF(I71=0,"",I71)</f>
        <v/>
      </c>
      <c r="M71" s="853" t="str">
        <f>IF(J71=0,"",J71)</f>
        <v/>
      </c>
      <c r="N71" s="853" t="str">
        <f>IF(K71=0,"",K71)</f>
        <v/>
      </c>
      <c r="O71" s="966"/>
      <c r="P71" s="966"/>
      <c r="Q71" s="966" t="s">
        <v>112</v>
      </c>
      <c r="R71" s="966"/>
      <c r="S71" s="966"/>
      <c r="T71" s="852"/>
      <c r="U71" s="852"/>
      <c r="V71" s="852" t="s">
        <v>2262</v>
      </c>
      <c r="W71" s="852"/>
      <c r="X71" s="852"/>
      <c r="Y71" s="1009"/>
      <c r="Z71" s="855"/>
      <c r="AA71" s="858"/>
      <c r="AB71" s="855"/>
      <c r="AC71" s="855"/>
      <c r="AD71" s="855"/>
    </row>
    <row customHeight="1" ht="27">
      <c r="A72" s="854"/>
      <c r="B72" s="908">
        <v>55</v>
      </c>
      <c r="C72" s="852"/>
      <c r="D72" s="976"/>
      <c r="E72" s="852" t="s">
        <v>2248</v>
      </c>
      <c r="F72" s="852"/>
      <c r="G72" s="852"/>
      <c r="H72" s="900"/>
      <c r="I72" s="1014">
        <f>INDEX(TEMPLATE_NUMBER_POINT_FHD,B72,MATCH(TEMPLATE_SPHERE,TEMPLATE_SPHERE_LIST_FOR_NOTE,0))</f>
        <v>0</v>
      </c>
      <c r="J72" s="1014">
        <f>INDEX(TEMPLATE_DATA_POINT_FHD,B72,MATCH(TEMPLATE_SPHERE,TEMPLATE_SPHERE_LIST_FOR_NOTE,0))</f>
        <v>0</v>
      </c>
      <c r="K72" s="1014">
        <f>INDEX(TEMPLATE_NOTE_POINT_FHD,B72,MATCH(TEMPLATE_SPHERE,TEMPLATE_SPHERE_LIST_FOR_NOTE,0))</f>
        <v>0</v>
      </c>
      <c r="L72" s="853" t="str">
        <f>IF(I72=0,"",I72)</f>
        <v/>
      </c>
      <c r="M72" s="853" t="str">
        <f>IF(J72=0,"",J72)</f>
        <v/>
      </c>
      <c r="N72" s="853" t="str">
        <f>IF(K72=0,"",K72)</f>
        <v/>
      </c>
      <c r="O72" s="966"/>
      <c r="P72" s="966"/>
      <c r="Q72" s="966" t="s">
        <v>136</v>
      </c>
      <c r="R72" s="966"/>
      <c r="S72" s="966"/>
      <c r="T72" s="852"/>
      <c r="U72" s="852"/>
      <c r="V72" s="852" t="s">
        <v>2263</v>
      </c>
      <c r="W72" s="852"/>
      <c r="X72" s="852"/>
      <c r="Y72" s="1009"/>
      <c r="Z72" s="855"/>
      <c r="AA72" s="858"/>
      <c r="AB72" s="855"/>
      <c r="AC72" s="855"/>
      <c r="AD72" s="855"/>
    </row>
    <row customHeight="1" ht="36">
      <c r="A73" s="854"/>
      <c r="B73" s="908">
        <v>56</v>
      </c>
      <c r="C73" s="852"/>
      <c r="D73" s="976"/>
      <c r="E73" s="852" t="s">
        <v>2250</v>
      </c>
      <c r="F73" s="852"/>
      <c r="G73" s="852"/>
      <c r="H73" s="900"/>
      <c r="I73" s="1014">
        <f>INDEX(TEMPLATE_NUMBER_POINT_FHD,B73,MATCH(TEMPLATE_SPHERE,TEMPLATE_SPHERE_LIST_FOR_NOTE,0))</f>
        <v>0</v>
      </c>
      <c r="J73" s="1014">
        <f>INDEX(TEMPLATE_DATA_POINT_FHD,B73,MATCH(TEMPLATE_SPHERE,TEMPLATE_SPHERE_LIST_FOR_NOTE,0))</f>
        <v>0</v>
      </c>
      <c r="K73" s="1014">
        <f>INDEX(TEMPLATE_NOTE_POINT_FHD,B73,MATCH(TEMPLATE_SPHERE,TEMPLATE_SPHERE_LIST_FOR_NOTE,0))</f>
        <v>0</v>
      </c>
      <c r="L73" s="853" t="str">
        <f>IF(I73=0,"",I73)</f>
        <v/>
      </c>
      <c r="M73" s="853" t="str">
        <f>IF(J73=0,"",J73)</f>
        <v/>
      </c>
      <c r="N73" s="853" t="str">
        <f>IF(K73=0,"",K73)</f>
        <v/>
      </c>
      <c r="O73" s="966"/>
      <c r="P73" s="966"/>
      <c r="Q73" s="966" t="s">
        <v>139</v>
      </c>
      <c r="R73" s="966"/>
      <c r="S73" s="966"/>
      <c r="T73" s="852"/>
      <c r="U73" s="852"/>
      <c r="V73" s="852" t="s">
        <v>2264</v>
      </c>
      <c r="W73" s="852"/>
      <c r="X73" s="852"/>
      <c r="Y73" s="1009"/>
      <c r="Z73" s="855"/>
      <c r="AA73" s="858"/>
      <c r="AB73" s="855"/>
      <c r="AC73" s="855"/>
      <c r="AD73" s="855"/>
    </row>
    <row customHeight="1" ht="18">
      <c r="A74" s="854"/>
      <c r="B74" s="908">
        <v>57</v>
      </c>
      <c r="C74" s="852"/>
      <c r="D74" s="976"/>
      <c r="E74" s="852" t="s">
        <v>2259</v>
      </c>
      <c r="F74" s="852"/>
      <c r="G74" s="852"/>
      <c r="H74" s="900"/>
      <c r="I74" s="1014">
        <f>INDEX(TEMPLATE_NUMBER_POINT_FHD,B74,MATCH(TEMPLATE_SPHERE,TEMPLATE_SPHERE_LIST_FOR_NOTE,0))</f>
        <v>0</v>
      </c>
      <c r="J74" s="1014">
        <f>INDEX(TEMPLATE_DATA_POINT_FHD,B74,MATCH(TEMPLATE_SPHERE,TEMPLATE_SPHERE_LIST_FOR_NOTE,0))</f>
        <v>0</v>
      </c>
      <c r="K74" s="1014">
        <f>INDEX(TEMPLATE_NOTE_POINT_FHD,B74,MATCH(TEMPLATE_SPHERE,TEMPLATE_SPHERE_LIST_FOR_NOTE,0))</f>
        <v>0</v>
      </c>
      <c r="L74" s="853" t="str">
        <f>IF(I74=0,"",I74)</f>
        <v/>
      </c>
      <c r="M74" s="853" t="str">
        <f>IF(J74=0,"",J74)</f>
        <v/>
      </c>
      <c r="N74" s="853" t="str">
        <f>IF(K74=0,"",K74)</f>
        <v/>
      </c>
      <c r="O74" s="966"/>
      <c r="P74" s="966"/>
      <c r="Q74" s="966" t="s">
        <v>142</v>
      </c>
      <c r="R74" s="966"/>
      <c r="S74" s="966"/>
      <c r="T74" s="852"/>
      <c r="U74" s="852"/>
      <c r="V74" s="852" t="s">
        <v>2265</v>
      </c>
      <c r="W74" s="852"/>
      <c r="X74" s="852"/>
      <c r="Y74" s="1009"/>
      <c r="Z74" s="855"/>
      <c r="AA74" s="858"/>
      <c r="AB74" s="855"/>
      <c r="AC74" s="855"/>
      <c r="AD74" s="855"/>
    </row>
    <row customHeight="1" ht="18">
      <c r="A75" s="854"/>
      <c r="B75" s="908">
        <v>58</v>
      </c>
      <c r="C75" s="852"/>
      <c r="D75" s="976"/>
      <c r="E75" s="852"/>
      <c r="F75" s="852" t="s">
        <v>2244</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93</v>
      </c>
      <c r="S75" s="966"/>
      <c r="T75" s="852"/>
      <c r="U75" s="852"/>
      <c r="V75" s="852"/>
      <c r="W75" s="852" t="s">
        <v>2266</v>
      </c>
      <c r="X75" s="852"/>
      <c r="Y75" s="1009"/>
      <c r="Z75" s="855"/>
      <c r="AA75" s="858"/>
      <c r="AB75" s="855"/>
      <c r="AC75" s="855"/>
      <c r="AD75" s="855"/>
    </row>
    <row customHeight="1" ht="36">
      <c r="A76" s="854"/>
      <c r="B76" s="908">
        <v>59</v>
      </c>
      <c r="C76" s="852"/>
      <c r="D76" s="976"/>
      <c r="E76" s="852"/>
      <c r="F76" s="852" t="s">
        <v>2246</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112</v>
      </c>
      <c r="S76" s="966"/>
      <c r="T76" s="852"/>
      <c r="U76" s="852"/>
      <c r="V76" s="852"/>
      <c r="W76" s="852" t="s">
        <v>2267</v>
      </c>
      <c r="X76" s="852"/>
      <c r="Y76" s="1009"/>
      <c r="Z76" s="855"/>
      <c r="AA76" s="858"/>
      <c r="AB76" s="855"/>
      <c r="AC76" s="855"/>
      <c r="AD76" s="855"/>
    </row>
    <row customHeight="1" ht="18">
      <c r="A77" s="854"/>
      <c r="B77" s="908">
        <v>60</v>
      </c>
      <c r="C77" s="852"/>
      <c r="D77" s="976"/>
      <c r="E77" s="852"/>
      <c r="F77" s="852" t="s">
        <v>2248</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136</v>
      </c>
      <c r="S77" s="966"/>
      <c r="T77" s="852"/>
      <c r="U77" s="852"/>
      <c r="V77" s="852"/>
      <c r="W77" s="852" t="s">
        <v>2268</v>
      </c>
      <c r="X77" s="852"/>
      <c r="Y77" s="1009"/>
      <c r="Z77" s="855"/>
      <c r="AA77" s="858"/>
      <c r="AB77" s="855"/>
      <c r="AC77" s="855"/>
      <c r="AD77" s="855"/>
    </row>
    <row customHeight="1" ht="72">
      <c r="A78" s="854"/>
      <c r="B78" s="908">
        <v>61</v>
      </c>
      <c r="C78" s="852" t="s">
        <v>2244</v>
      </c>
      <c r="D78" s="976"/>
      <c r="E78" s="852"/>
      <c r="F78" s="852"/>
      <c r="G78" s="852"/>
      <c r="H78" s="900"/>
      <c r="I78" s="1014" t="str">
        <f>INDEX(TEMPLATE_NUMBER_POINT_FHD,B78,MATCH(TEMPLATE_SPHERE,TEMPLATE_SPHERE_LIST_FOR_NOTE,0))</f>
        <v>7</v>
      </c>
      <c r="J78" s="1014"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4"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3" t="str">
        <f>IF(I78=0,"",I78)</f>
        <v>7</v>
      </c>
      <c r="M78" s="853"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3"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6" t="s">
        <v>93</v>
      </c>
      <c r="P78" s="966"/>
      <c r="Q78" s="966"/>
      <c r="R78" s="966"/>
      <c r="S78" s="966"/>
      <c r="T78" s="852" t="s">
        <v>737</v>
      </c>
      <c r="U78" s="852"/>
      <c r="V78" s="852"/>
      <c r="W78" s="852"/>
      <c r="X78" s="852"/>
      <c r="Y78" s="1009"/>
      <c r="Z78" s="855" t="s">
        <v>2269</v>
      </c>
      <c r="AA78" s="858"/>
      <c r="AB78" s="855"/>
      <c r="AC78" s="855"/>
      <c r="AD78" s="855"/>
    </row>
    <row customHeight="1" ht="36">
      <c r="A79" s="854"/>
      <c r="B79" s="908">
        <v>62</v>
      </c>
      <c r="C79" s="852" t="s">
        <v>2246</v>
      </c>
      <c r="D79" s="976"/>
      <c r="E79" s="852"/>
      <c r="F79" s="852"/>
      <c r="G79" s="852"/>
      <c r="H79" s="900"/>
      <c r="I79" s="1014" t="str">
        <f>INDEX(TEMPLATE_NUMBER_POINT_FHD,B79,MATCH(TEMPLATE_SPHERE,TEMPLATE_SPHERE_LIST_FOR_NOTE,0))</f>
        <v>8</v>
      </c>
      <c r="J79" s="1014"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4"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3" t="str">
        <f>IF(I79=0,"",I79)</f>
        <v>8</v>
      </c>
      <c r="M79" s="853" t="str">
        <f>IF(J79=0,"",J79)</f>
        <v>Тепловая нагрузка по договорам, заключенным в рамках осуществления регулируемых видов деятельности</v>
      </c>
      <c r="N79" s="853"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6" t="s">
        <v>112</v>
      </c>
      <c r="P79" s="966"/>
      <c r="Q79" s="966"/>
      <c r="R79" s="966"/>
      <c r="S79" s="966"/>
      <c r="T79" s="852" t="s">
        <v>2270</v>
      </c>
      <c r="U79" s="852"/>
      <c r="V79" s="852"/>
      <c r="W79" s="852"/>
      <c r="X79" s="852"/>
      <c r="Y79" s="1009"/>
      <c r="Z79" s="855" t="s">
        <v>2271</v>
      </c>
      <c r="AA79" s="858"/>
      <c r="AB79" s="855"/>
      <c r="AC79" s="855"/>
      <c r="AD79" s="855"/>
    </row>
    <row customHeight="1" ht="45">
      <c r="A80" s="854"/>
      <c r="B80" s="908">
        <v>63</v>
      </c>
      <c r="C80" s="852" t="s">
        <v>2248</v>
      </c>
      <c r="D80" s="976"/>
      <c r="E80" s="852"/>
      <c r="F80" s="852"/>
      <c r="G80" s="852"/>
      <c r="H80" s="900"/>
      <c r="I80" s="1014" t="str">
        <f>INDEX(TEMPLATE_NUMBER_POINT_FHD,B80,MATCH(TEMPLATE_SPHERE,TEMPLATE_SPHERE_LIST_FOR_NOTE,0))</f>
        <v>9</v>
      </c>
      <c r="J80" s="1014"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4"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3" t="str">
        <f>IF(I80=0,"",I80)</f>
        <v>9</v>
      </c>
      <c r="M80" s="853" t="str">
        <f>IF(J80=0,"",J80)</f>
        <v>Объем вырабатываемой регулируемой организацией тепловой энергии в рамках осуществления регулируемых видов деятельности</v>
      </c>
      <c r="N80" s="853"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6" t="s">
        <v>136</v>
      </c>
      <c r="P80" s="966"/>
      <c r="Q80" s="966"/>
      <c r="R80" s="966"/>
      <c r="S80" s="966"/>
      <c r="T80" s="852" t="s">
        <v>2272</v>
      </c>
      <c r="U80" s="852"/>
      <c r="V80" s="852"/>
      <c r="W80" s="852"/>
      <c r="X80" s="852"/>
      <c r="Y80" s="1009"/>
      <c r="Z80" s="855" t="s">
        <v>2273</v>
      </c>
      <c r="AA80" s="858"/>
      <c r="AB80" s="855"/>
      <c r="AC80" s="855"/>
      <c r="AD80" s="855"/>
    </row>
    <row customHeight="1" ht="36">
      <c r="A81" s="854"/>
      <c r="B81" s="908">
        <v>64</v>
      </c>
      <c r="C81" s="852" t="s">
        <v>2250</v>
      </c>
      <c r="D81" s="976"/>
      <c r="E81" s="852"/>
      <c r="F81" s="852"/>
      <c r="G81" s="852"/>
      <c r="H81" s="900"/>
      <c r="I81" s="1014" t="str">
        <f>INDEX(TEMPLATE_NUMBER_POINT_FHD,B81,MATCH(TEMPLATE_SPHERE,TEMPLATE_SPHERE_LIST_FOR_NOTE,0))</f>
        <v>9.1</v>
      </c>
      <c r="J81" s="1014"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4" t="str">
        <f>INDEX(TEMPLATE_NOTE_POINT_FHD,B81,MATCH(TEMPLATE_SPHERE,TEMPLATE_SPHERE_LIST_FOR_NOTE,0))</f>
        <v>Информация указывается только едиными теплоснабжающими организациями.</v>
      </c>
      <c r="L81" s="853" t="str">
        <f>IF(I81=0,"",I81)</f>
        <v>9.1</v>
      </c>
      <c r="M81" s="853" t="str">
        <f>IF(J81=0,"",J81)</f>
        <v>Объем приобретаемой регулируемой организацией тепловой энергии в рамках осуществления регулируемых видов деятельности</v>
      </c>
      <c r="N81" s="853" t="str">
        <f>IF(K81=0,"",K81)</f>
        <v>Информация указывается только едиными теплоснабжающими организациями.</v>
      </c>
      <c r="O81" s="966" t="s">
        <v>2156</v>
      </c>
      <c r="P81" s="966"/>
      <c r="Q81" s="966"/>
      <c r="R81" s="966"/>
      <c r="S81" s="966"/>
      <c r="T81" s="852" t="s">
        <v>2274</v>
      </c>
      <c r="U81" s="852"/>
      <c r="V81" s="852"/>
      <c r="W81" s="852"/>
      <c r="X81" s="852"/>
      <c r="Y81" s="1009"/>
      <c r="Z81" s="855" t="s">
        <v>2275</v>
      </c>
      <c r="AA81" s="858"/>
      <c r="AB81" s="855"/>
      <c r="AC81" s="855"/>
      <c r="AD81" s="855"/>
    </row>
    <row customHeight="1" ht="90">
      <c r="A82" s="854"/>
      <c r="B82" s="908">
        <v>65</v>
      </c>
      <c r="C82" s="852" t="s">
        <v>2259</v>
      </c>
      <c r="D82" s="976"/>
      <c r="E82" s="852"/>
      <c r="F82" s="852"/>
      <c r="G82" s="852"/>
      <c r="H82" s="900"/>
      <c r="I82" s="1014" t="str">
        <f>INDEX(TEMPLATE_NUMBER_POINT_FHD,B82,MATCH(TEMPLATE_SPHERE,TEMPLATE_SPHERE_LIST_FOR_NOTE,0))</f>
        <v>10</v>
      </c>
      <c r="J82" s="1014"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4"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3" t="str">
        <f>IF(I82=0,"",I82)</f>
        <v>10</v>
      </c>
      <c r="M82" s="853"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3"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6" t="s">
        <v>139</v>
      </c>
      <c r="P82" s="966"/>
      <c r="Q82" s="966"/>
      <c r="R82" s="966"/>
      <c r="S82" s="966"/>
      <c r="T82" s="852" t="s">
        <v>2276</v>
      </c>
      <c r="U82" s="852"/>
      <c r="V82" s="852"/>
      <c r="W82" s="852"/>
      <c r="X82" s="852"/>
      <c r="Y82" s="1009"/>
      <c r="Z82" s="855" t="s">
        <v>2277</v>
      </c>
      <c r="AA82" s="858"/>
      <c r="AB82" s="855"/>
      <c r="AC82" s="855"/>
      <c r="AD82" s="855"/>
    </row>
    <row customHeight="1" ht="9">
      <c r="A83" s="854"/>
      <c r="B83" s="908">
        <v>66</v>
      </c>
      <c r="C83" s="852"/>
      <c r="D83" s="976"/>
      <c r="E83" s="852"/>
      <c r="F83" s="852"/>
      <c r="G83" s="852"/>
      <c r="H83" s="900"/>
      <c r="I83" s="1014" t="str">
        <f>INDEX(TEMPLATE_NUMBER_POINT_FHD,B83,MATCH(TEMPLATE_SPHERE,TEMPLATE_SPHERE_LIST_FOR_NOTE,0))</f>
        <v>10.1</v>
      </c>
      <c r="J83" s="1014" t="str">
        <f>INDEX(TEMPLATE_DATA_POINT_FHD,B83,MATCH(TEMPLATE_SPHERE,TEMPLATE_SPHERE_LIST_FOR_NOTE,0))</f>
        <v>По приборам учёта </v>
      </c>
      <c r="K83" s="1014">
        <f>INDEX(TEMPLATE_NOTE_POINT_FHD,B83,MATCH(TEMPLATE_SPHERE,TEMPLATE_SPHERE_LIST_FOR_NOTE,0))</f>
        <v>0</v>
      </c>
      <c r="L83" s="853" t="str">
        <f>IF(I83=0,"",I83)</f>
        <v>10.1</v>
      </c>
      <c r="M83" s="853" t="str">
        <f>IF(J83=0,"",J83)</f>
        <v>По приборам учёта </v>
      </c>
      <c r="N83" s="853" t="str">
        <f>IF(K83=0,"",K83)</f>
        <v/>
      </c>
      <c r="O83" s="966" t="s">
        <v>2165</v>
      </c>
      <c r="P83" s="966"/>
      <c r="Q83" s="966"/>
      <c r="R83" s="966"/>
      <c r="S83" s="966"/>
      <c r="T83" s="852" t="s">
        <v>2278</v>
      </c>
      <c r="U83" s="852"/>
      <c r="V83" s="852"/>
      <c r="W83" s="852"/>
      <c r="X83" s="852"/>
      <c r="Y83" s="1009"/>
      <c r="Z83" s="855"/>
      <c r="AA83" s="858"/>
      <c r="AB83" s="855"/>
      <c r="AC83" s="855"/>
      <c r="AD83" s="855"/>
    </row>
    <row customHeight="1" ht="54">
      <c r="A84" s="854"/>
      <c r="B84" s="908">
        <v>67</v>
      </c>
      <c r="C84" s="852"/>
      <c r="D84" s="976"/>
      <c r="E84" s="852"/>
      <c r="F84" s="852"/>
      <c r="G84" s="852"/>
      <c r="H84" s="900"/>
      <c r="I84" s="1014" t="str">
        <f>INDEX(TEMPLATE_NUMBER_POINT_FHD,B84,MATCH(TEMPLATE_SPHERE,TEMPLATE_SPHERE_LIST_FOR_NOTE,0))</f>
        <v>10.1.1</v>
      </c>
      <c r="J84" s="1014"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4">
        <f>INDEX(TEMPLATE_NOTE_POINT_FHD,B84,MATCH(TEMPLATE_SPHERE,TEMPLATE_SPHERE_LIST_FOR_NOTE,0))</f>
        <v>0</v>
      </c>
      <c r="L84" s="853" t="str">
        <f>IF(I84=0,"",I84)</f>
        <v>10.1.1</v>
      </c>
      <c r="M84" s="853"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3" t="str">
        <f>IF(K84=0,"",K84)</f>
        <v/>
      </c>
      <c r="O84" s="966" t="s">
        <v>2279</v>
      </c>
      <c r="P84" s="966"/>
      <c r="Q84" s="966"/>
      <c r="R84" s="966"/>
      <c r="S84" s="966"/>
      <c r="T84" s="852" t="s">
        <v>2280</v>
      </c>
      <c r="U84" s="852"/>
      <c r="V84" s="852"/>
      <c r="W84" s="852"/>
      <c r="X84" s="852"/>
      <c r="Y84" s="1009"/>
      <c r="Z84" s="855"/>
      <c r="AA84" s="858"/>
      <c r="AB84" s="855"/>
      <c r="AC84" s="855"/>
      <c r="AD84" s="855"/>
    </row>
    <row customHeight="1" ht="9">
      <c r="A85" s="854"/>
      <c r="B85" s="908">
        <v>68</v>
      </c>
      <c r="C85" s="852"/>
      <c r="D85" s="976"/>
      <c r="E85" s="852"/>
      <c r="F85" s="852"/>
      <c r="G85" s="852"/>
      <c r="H85" s="900"/>
      <c r="I85" s="1014" t="str">
        <f>INDEX(TEMPLATE_NUMBER_POINT_FHD,B85,MATCH(TEMPLATE_SPHERE,TEMPLATE_SPHERE_LIST_FOR_NOTE,0))</f>
        <v>10.2</v>
      </c>
      <c r="J85" s="1014" t="str">
        <f>INDEX(TEMPLATE_DATA_POINT_FHD,B85,MATCH(TEMPLATE_SPHERE,TEMPLATE_SPHERE_LIST_FOR_NOTE,0))</f>
        <v>Расчётным путём</v>
      </c>
      <c r="K85" s="1014">
        <f>INDEX(TEMPLATE_NOTE_POINT_FHD,B85,MATCH(TEMPLATE_SPHERE,TEMPLATE_SPHERE_LIST_FOR_NOTE,0))</f>
        <v>0</v>
      </c>
      <c r="L85" s="853" t="str">
        <f>IF(I85=0,"",I85)</f>
        <v>10.2</v>
      </c>
      <c r="M85" s="853" t="str">
        <f>IF(J85=0,"",J85)</f>
        <v>Расчётным путём</v>
      </c>
      <c r="N85" s="853" t="str">
        <f>IF(K85=0,"",K85)</f>
        <v/>
      </c>
      <c r="O85" s="966" t="s">
        <v>2169</v>
      </c>
      <c r="P85" s="966"/>
      <c r="Q85" s="966"/>
      <c r="R85" s="966"/>
      <c r="S85" s="966"/>
      <c r="T85" s="852" t="s">
        <v>2281</v>
      </c>
      <c r="U85" s="852"/>
      <c r="V85" s="852"/>
      <c r="W85" s="852"/>
      <c r="X85" s="852"/>
      <c r="Y85" s="1009"/>
      <c r="Z85" s="855"/>
      <c r="AA85" s="858"/>
      <c r="AB85" s="855"/>
      <c r="AC85" s="855"/>
      <c r="AD85" s="855"/>
    </row>
    <row customHeight="1" ht="27">
      <c r="A86" s="854"/>
      <c r="B86" s="908">
        <v>69</v>
      </c>
      <c r="C86" s="852"/>
      <c r="D86" s="976"/>
      <c r="E86" s="852"/>
      <c r="F86" s="852"/>
      <c r="G86" s="852"/>
      <c r="H86" s="900"/>
      <c r="I86" s="1014" t="str">
        <f>INDEX(TEMPLATE_NUMBER_POINT_FHD,B86,MATCH(TEMPLATE_SPHERE,TEMPLATE_SPHERE_LIST_FOR_NOTE,0))</f>
        <v>10.3</v>
      </c>
      <c r="J86" s="1014" t="str">
        <f>INDEX(TEMPLATE_DATA_POINT_FHD,B86,MATCH(TEMPLATE_SPHERE,TEMPLATE_SPHERE_LIST_FOR_NOTE,0))</f>
        <v>По нормативам потребления коммунальных услуг и нормативам потребления коммунальных ресурсов</v>
      </c>
      <c r="K86" s="1014">
        <f>INDEX(TEMPLATE_NOTE_POINT_FHD,B86,MATCH(TEMPLATE_SPHERE,TEMPLATE_SPHERE_LIST_FOR_NOTE,0))</f>
        <v>0</v>
      </c>
      <c r="L86" s="853" t="str">
        <f>IF(I86=0,"",I86)</f>
        <v>10.3</v>
      </c>
      <c r="M86" s="853" t="str">
        <f>IF(J86=0,"",J86)</f>
        <v>По нормативам потребления коммунальных услуг и нормативам потребления коммунальных ресурсов</v>
      </c>
      <c r="N86" s="853" t="str">
        <f>IF(K86=0,"",K86)</f>
        <v/>
      </c>
      <c r="O86" s="966" t="s">
        <v>2282</v>
      </c>
      <c r="P86" s="966"/>
      <c r="Q86" s="966"/>
      <c r="R86" s="966"/>
      <c r="S86" s="966"/>
      <c r="T86" s="852" t="s">
        <v>2283</v>
      </c>
      <c r="U86" s="852"/>
      <c r="V86" s="852"/>
      <c r="W86" s="852"/>
      <c r="X86" s="852"/>
      <c r="Y86" s="1009"/>
      <c r="Z86" s="855"/>
      <c r="AA86" s="858"/>
      <c r="AB86" s="855"/>
      <c r="AC86" s="855"/>
      <c r="AD86" s="855"/>
    </row>
    <row customHeight="1" ht="36">
      <c r="A87" s="854"/>
      <c r="B87" s="908">
        <v>70</v>
      </c>
      <c r="C87" s="852" t="s">
        <v>2284</v>
      </c>
      <c r="D87" s="976"/>
      <c r="E87" s="852"/>
      <c r="F87" s="852"/>
      <c r="G87" s="852"/>
      <c r="H87" s="900"/>
      <c r="I87" s="1014" t="str">
        <f>INDEX(TEMPLATE_NUMBER_POINT_FHD,B87,MATCH(TEMPLATE_SPHERE,TEMPLATE_SPHERE_LIST_FOR_NOTE,0))</f>
        <v>11</v>
      </c>
      <c r="J87" s="1014"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4">
        <f>INDEX(TEMPLATE_NOTE_POINT_FHD,B87,MATCH(TEMPLATE_SPHERE,TEMPLATE_SPHERE_LIST_FOR_NOTE,0))</f>
        <v>0</v>
      </c>
      <c r="L87" s="853" t="str">
        <f>IF(I87=0,"",I87)</f>
        <v>11</v>
      </c>
      <c r="M87" s="853"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3" t="str">
        <f>IF(K87=0,"",K87)</f>
        <v/>
      </c>
      <c r="O87" s="966" t="s">
        <v>142</v>
      </c>
      <c r="P87" s="966"/>
      <c r="Q87" s="966"/>
      <c r="R87" s="966"/>
      <c r="S87" s="966"/>
      <c r="T87" s="852" t="s">
        <v>2285</v>
      </c>
      <c r="U87" s="852"/>
      <c r="V87" s="852"/>
      <c r="W87" s="852"/>
      <c r="X87" s="852"/>
      <c r="Y87" s="1009"/>
      <c r="Z87" s="855"/>
      <c r="AA87" s="858"/>
      <c r="AB87" s="855"/>
      <c r="AC87" s="855"/>
      <c r="AD87" s="855"/>
    </row>
    <row customHeight="1" ht="18">
      <c r="A88" s="854"/>
      <c r="B88" s="908">
        <v>71</v>
      </c>
      <c r="C88" s="852" t="s">
        <v>2286</v>
      </c>
      <c r="D88" s="976"/>
      <c r="E88" s="852"/>
      <c r="F88" s="852"/>
      <c r="G88" s="852"/>
      <c r="H88" s="900"/>
      <c r="I88" s="1014" t="str">
        <f>INDEX(TEMPLATE_NUMBER_POINT_FHD,B88,MATCH(TEMPLATE_SPHERE,TEMPLATE_SPHERE_LIST_FOR_NOTE,0))</f>
        <v>12</v>
      </c>
      <c r="J88" s="1014" t="str">
        <f>INDEX(TEMPLATE_DATA_POINT_FHD,B88,MATCH(TEMPLATE_SPHERE,TEMPLATE_SPHERE_LIST_FOR_NOTE,0))</f>
        <v>Фактический объем потерь при передаче тепловой энергии</v>
      </c>
      <c r="K88" s="1014">
        <f>INDEX(TEMPLATE_NOTE_POINT_FHD,B88,MATCH(TEMPLATE_SPHERE,TEMPLATE_SPHERE_LIST_FOR_NOTE,0))</f>
        <v>0</v>
      </c>
      <c r="L88" s="853" t="str">
        <f>IF(I88=0,"",I88)</f>
        <v>12</v>
      </c>
      <c r="M88" s="853" t="str">
        <f>IF(J88=0,"",J88)</f>
        <v>Фактический объем потерь при передаче тепловой энергии</v>
      </c>
      <c r="N88" s="853" t="str">
        <f>IF(K88=0,"",K88)</f>
        <v/>
      </c>
      <c r="O88" s="966" t="s">
        <v>145</v>
      </c>
      <c r="P88" s="966"/>
      <c r="Q88" s="966"/>
      <c r="R88" s="966"/>
      <c r="S88" s="966"/>
      <c r="T88" s="852" t="s">
        <v>769</v>
      </c>
      <c r="U88" s="852"/>
      <c r="V88" s="852"/>
      <c r="W88" s="852"/>
      <c r="X88" s="852"/>
      <c r="Y88" s="1009"/>
      <c r="Z88" s="855"/>
      <c r="AA88" s="858"/>
      <c r="AB88" s="855"/>
      <c r="AC88" s="855"/>
      <c r="AD88" s="855"/>
    </row>
    <row customHeight="1" ht="18">
      <c r="A89" s="854"/>
      <c r="B89" s="908">
        <v>72</v>
      </c>
      <c r="C89" s="852" t="s">
        <v>2287</v>
      </c>
      <c r="D89" s="976" t="s">
        <v>2284</v>
      </c>
      <c r="E89" s="852" t="s">
        <v>2284</v>
      </c>
      <c r="F89" s="852" t="s">
        <v>2250</v>
      </c>
      <c r="G89" s="852"/>
      <c r="H89" s="900"/>
      <c r="I89" s="1014" t="str">
        <f>INDEX(TEMPLATE_NUMBER_POINT_FHD,B89,MATCH(TEMPLATE_SPHERE,TEMPLATE_SPHERE_LIST_FOR_NOTE,0))</f>
        <v>13</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13</v>
      </c>
      <c r="M89" s="853" t="str">
        <f>IF(J89=0,"",J89)</f>
        <v>Среднесписочная численность основного производственного персонала</v>
      </c>
      <c r="N89" s="853" t="str">
        <f>IF(K89=0,"",K89)</f>
        <v/>
      </c>
      <c r="O89" s="966" t="s">
        <v>148</v>
      </c>
      <c r="P89" s="966" t="s">
        <v>145</v>
      </c>
      <c r="Q89" s="966" t="s">
        <v>145</v>
      </c>
      <c r="R89" s="966" t="s">
        <v>139</v>
      </c>
      <c r="S89" s="966"/>
      <c r="T89" s="852" t="s">
        <v>777</v>
      </c>
      <c r="U89" s="852" t="s">
        <v>777</v>
      </c>
      <c r="V89" s="852" t="s">
        <v>777</v>
      </c>
      <c r="W89" s="852" t="s">
        <v>777</v>
      </c>
      <c r="X89" s="852"/>
      <c r="Y89" s="1009"/>
      <c r="Z89" s="855"/>
      <c r="AA89" s="858"/>
      <c r="AB89" s="855"/>
      <c r="AC89" s="855"/>
      <c r="AD89" s="855"/>
    </row>
    <row customHeight="1" ht="27">
      <c r="A90" s="854"/>
      <c r="B90" s="908">
        <v>73</v>
      </c>
      <c r="C90" s="852" t="s">
        <v>2288</v>
      </c>
      <c r="D90" s="976"/>
      <c r="E90" s="852"/>
      <c r="F90" s="852"/>
      <c r="G90" s="852"/>
      <c r="H90" s="900"/>
      <c r="I90" s="1014" t="str">
        <f>INDEX(TEMPLATE_NUMBER_POINT_FHD,B90,MATCH(TEMPLATE_SPHERE,TEMPLATE_SPHERE_LIST_FOR_NOTE,0))</f>
        <v>14</v>
      </c>
      <c r="J90" s="1014" t="str">
        <f>INDEX(TEMPLATE_DATA_POINT_FHD,B90,MATCH(TEMPLATE_SPHERE,TEMPLATE_SPHERE_LIST_FOR_NOTE,0))</f>
        <v>Среднесписочная численность административно-управленческого персонала</v>
      </c>
      <c r="K90" s="1014">
        <f>INDEX(TEMPLATE_NOTE_POINT_FHD,B90,MATCH(TEMPLATE_SPHERE,TEMPLATE_SPHERE_LIST_FOR_NOTE,0))</f>
        <v>0</v>
      </c>
      <c r="L90" s="853" t="str">
        <f>IF(I90=0,"",I90)</f>
        <v>14</v>
      </c>
      <c r="M90" s="853" t="str">
        <f>IF(J90=0,"",J90)</f>
        <v>Среднесписочная численность административно-управленческого персонала</v>
      </c>
      <c r="N90" s="853" t="str">
        <f>IF(K90=0,"",K90)</f>
        <v/>
      </c>
      <c r="O90" s="966" t="s">
        <v>151</v>
      </c>
      <c r="P90" s="966"/>
      <c r="Q90" s="966"/>
      <c r="R90" s="966"/>
      <c r="S90" s="966"/>
      <c r="T90" s="852" t="s">
        <v>779</v>
      </c>
      <c r="U90" s="852"/>
      <c r="V90" s="852"/>
      <c r="W90" s="852"/>
      <c r="X90" s="852"/>
      <c r="Y90" s="1009"/>
      <c r="Z90" s="855"/>
      <c r="AA90" s="858"/>
      <c r="AB90" s="855"/>
      <c r="AC90" s="855"/>
      <c r="AD90" s="855"/>
    </row>
    <row customHeight="1" ht="18">
      <c r="A91" s="854"/>
      <c r="B91" s="908">
        <v>74</v>
      </c>
      <c r="C91" s="852"/>
      <c r="D91" s="976" t="s">
        <v>2286</v>
      </c>
      <c r="E91" s="852" t="s">
        <v>2286</v>
      </c>
      <c r="F91" s="852"/>
      <c r="G91" s="852"/>
      <c r="H91" s="900"/>
      <c r="I91" s="1014">
        <f>INDEX(TEMPLATE_NUMBER_POINT_FHD,B91,MATCH(TEMPLATE_SPHERE,TEMPLATE_SPHERE_LIST_FOR_NOTE,0))</f>
        <v>0</v>
      </c>
      <c r="J91" s="1014">
        <f>INDEX(TEMPLATE_DATA_POINT_FHD,B91,MATCH(TEMPLATE_SPHERE,TEMPLATE_SPHERE_LIST_FOR_NOTE,0))</f>
        <v>0</v>
      </c>
      <c r="K91" s="1014">
        <f>INDEX(TEMPLATE_NOTE_POINT_FHD,B91,MATCH(TEMPLATE_SPHERE,TEMPLATE_SPHERE_LIST_FOR_NOTE,0))</f>
        <v>0</v>
      </c>
      <c r="L91" s="853" t="str">
        <f>IF(I91=0,"",I91)</f>
        <v/>
      </c>
      <c r="M91" s="853" t="str">
        <f>IF(J91=0,"",J91)</f>
        <v/>
      </c>
      <c r="N91" s="853" t="str">
        <f>IF(K91=0,"",K91)</f>
        <v/>
      </c>
      <c r="O91" s="966"/>
      <c r="P91" s="966" t="s">
        <v>148</v>
      </c>
      <c r="Q91" s="966" t="s">
        <v>148</v>
      </c>
      <c r="R91" s="966"/>
      <c r="S91" s="966"/>
      <c r="T91" s="852"/>
      <c r="U91" s="852" t="s">
        <v>2289</v>
      </c>
      <c r="V91" s="852" t="s">
        <v>2289</v>
      </c>
      <c r="W91" s="852"/>
      <c r="X91" s="852"/>
      <c r="Y91" s="1009"/>
      <c r="Z91" s="855"/>
      <c r="AA91" s="858"/>
      <c r="AB91" s="855"/>
      <c r="AC91" s="855"/>
      <c r="AD91" s="855"/>
    </row>
    <row customHeight="1" ht="27">
      <c r="A92" s="854"/>
      <c r="B92" s="908">
        <v>75</v>
      </c>
      <c r="C92" s="852"/>
      <c r="D92" s="976" t="s">
        <v>2287</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151</v>
      </c>
      <c r="Q92" s="966"/>
      <c r="R92" s="966"/>
      <c r="S92" s="966"/>
      <c r="T92" s="852"/>
      <c r="U92" s="852" t="s">
        <v>2290</v>
      </c>
      <c r="V92" s="852"/>
      <c r="W92" s="852"/>
      <c r="X92" s="852"/>
      <c r="Y92" s="1009"/>
      <c r="Z92" s="855"/>
      <c r="AA92" s="858" t="s">
        <v>2291</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2197</v>
      </c>
      <c r="Q93" s="966"/>
      <c r="R93" s="966"/>
      <c r="S93" s="966"/>
      <c r="T93" s="852"/>
      <c r="U93" s="852" t="s">
        <v>2292</v>
      </c>
      <c r="V93" s="852"/>
      <c r="W93" s="852"/>
      <c r="X93" s="852"/>
      <c r="Y93" s="1009"/>
      <c r="Z93" s="855"/>
      <c r="AA93" s="858" t="s">
        <v>2293</v>
      </c>
      <c r="AB93" s="855"/>
      <c r="AC93" s="855"/>
      <c r="AD93" s="855"/>
    </row>
    <row customHeight="1" ht="45">
      <c r="A94" s="854"/>
      <c r="B94" s="908">
        <v>77</v>
      </c>
      <c r="C94" s="852"/>
      <c r="D94" s="976" t="s">
        <v>2288</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154</v>
      </c>
      <c r="Q94" s="966"/>
      <c r="R94" s="966"/>
      <c r="S94" s="966"/>
      <c r="T94" s="852"/>
      <c r="U94" s="852" t="s">
        <v>2294</v>
      </c>
      <c r="V94" s="852"/>
      <c r="W94" s="852"/>
      <c r="X94" s="852"/>
      <c r="Y94" s="1009"/>
      <c r="Z94" s="855"/>
      <c r="AA94" s="858" t="s">
        <v>2295</v>
      </c>
      <c r="AB94" s="855"/>
      <c r="AC94" s="855"/>
      <c r="AD94" s="855"/>
    </row>
    <row customHeight="1" ht="99">
      <c r="A95" s="854"/>
      <c r="B95" s="908">
        <v>78</v>
      </c>
      <c r="C95" s="852" t="s">
        <v>2296</v>
      </c>
      <c r="D95" s="976"/>
      <c r="E95" s="852"/>
      <c r="F95" s="852"/>
      <c r="G95" s="852"/>
      <c r="H95" s="900"/>
      <c r="I95" s="1014" t="str">
        <f>INDEX(TEMPLATE_NUMBER_POINT_FHD,B95,MATCH(TEMPLATE_SPHERE,TEMPLATE_SPHERE_LIST_FOR_NOTE,0))</f>
        <v>15</v>
      </c>
      <c r="J95" s="1014"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4">
        <f>INDEX(TEMPLATE_NOTE_POINT_FHD,B95,MATCH(TEMPLATE_SPHERE,TEMPLATE_SPHERE_LIST_FOR_NOTE,0))</f>
        <v>0</v>
      </c>
      <c r="L95" s="853" t="str">
        <f>IF(I95=0,"",I95)</f>
        <v>15</v>
      </c>
      <c r="M95" s="853"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3" t="str">
        <f>IF(K95=0,"",K95)</f>
        <v/>
      </c>
      <c r="O95" s="966" t="s">
        <v>154</v>
      </c>
      <c r="P95" s="966"/>
      <c r="Q95" s="966"/>
      <c r="R95" s="966"/>
      <c r="S95" s="966"/>
      <c r="T95" s="852" t="s">
        <v>2297</v>
      </c>
      <c r="U95" s="852"/>
      <c r="V95" s="852"/>
      <c r="W95" s="852"/>
      <c r="X95" s="852"/>
      <c r="Y95" s="1009"/>
      <c r="Z95" s="855"/>
      <c r="AA95" s="858"/>
      <c r="AB95" s="855"/>
      <c r="AC95" s="855"/>
      <c r="AD95" s="855"/>
    </row>
    <row customHeight="1" ht="99">
      <c r="A96" s="854"/>
      <c r="B96" s="908">
        <v>79</v>
      </c>
      <c r="C96" s="852" t="s">
        <v>1251</v>
      </c>
      <c r="D96" s="976"/>
      <c r="E96" s="852"/>
      <c r="F96" s="852"/>
      <c r="G96" s="852"/>
      <c r="H96" s="900"/>
      <c r="I96" s="1014" t="str">
        <f>INDEX(TEMPLATE_NUMBER_POINT_FHD,B96,MATCH(TEMPLATE_SPHERE,TEMPLATE_SPHERE_LIST_FOR_NOTE,0))</f>
        <v>16</v>
      </c>
      <c r="J96" s="1014"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4"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3" t="str">
        <f>IF(I96=0,"",I96)</f>
        <v>16</v>
      </c>
      <c r="M96" s="853"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3"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6" t="s">
        <v>157</v>
      </c>
      <c r="P96" s="966"/>
      <c r="Q96" s="966"/>
      <c r="R96" s="966"/>
      <c r="S96" s="966"/>
      <c r="T96" s="852" t="s">
        <v>2298</v>
      </c>
      <c r="U96" s="852"/>
      <c r="V96" s="852"/>
      <c r="W96" s="852"/>
      <c r="X96" s="852"/>
      <c r="Y96" s="1009"/>
      <c r="Z96" s="855" t="s">
        <v>2299</v>
      </c>
      <c r="AA96" s="858"/>
      <c r="AB96" s="855"/>
      <c r="AC96" s="855"/>
      <c r="AD96" s="855"/>
    </row>
    <row customHeight="1" ht="63">
      <c r="A97" s="854"/>
      <c r="B97" s="908">
        <v>80</v>
      </c>
      <c r="C97" s="852" t="s">
        <v>2300</v>
      </c>
      <c r="D97" s="976"/>
      <c r="E97" s="852"/>
      <c r="F97" s="852"/>
      <c r="G97" s="852"/>
      <c r="H97" s="900"/>
      <c r="I97" s="1014" t="str">
        <f>INDEX(TEMPLATE_NUMBER_POINT_FHD,B97,MATCH(TEMPLATE_SPHERE,TEMPLATE_SPHERE_LIST_FOR_NOTE,0))</f>
        <v>17</v>
      </c>
      <c r="J97" s="1014"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4"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3" t="str">
        <f>IF(I97=0,"",I97)</f>
        <v>17</v>
      </c>
      <c r="M97" s="853"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3" t="str">
        <f>IF(K97=0,"",K97)</f>
        <v>Регулируемыми организациями указывается информация с по договорам, заключенным в рамках осуществления регулируемой деятельности.</v>
      </c>
      <c r="O97" s="966" t="s">
        <v>160</v>
      </c>
      <c r="P97" s="966"/>
      <c r="Q97" s="966"/>
      <c r="R97" s="966"/>
      <c r="S97" s="966"/>
      <c r="T97" s="852" t="s">
        <v>2301</v>
      </c>
      <c r="U97" s="852"/>
      <c r="V97" s="852"/>
      <c r="W97" s="852"/>
      <c r="X97" s="852"/>
      <c r="Y97" s="1009"/>
      <c r="Z97" s="855" t="s">
        <v>2302</v>
      </c>
      <c r="AA97" s="858"/>
      <c r="AB97" s="855"/>
      <c r="AC97" s="855"/>
      <c r="AD97" s="855"/>
    </row>
    <row customHeight="1" ht="63">
      <c r="A98" s="854"/>
      <c r="B98" s="908">
        <v>81</v>
      </c>
      <c r="C98" s="852" t="s">
        <v>2303</v>
      </c>
      <c r="D98" s="976"/>
      <c r="E98" s="852"/>
      <c r="F98" s="852"/>
      <c r="G98" s="852"/>
      <c r="H98" s="900"/>
      <c r="I98" s="1014" t="str">
        <f>INDEX(TEMPLATE_NUMBER_POINT_FHD,B98,MATCH(TEMPLATE_SPHERE,TEMPLATE_SPHERE_LIST_FOR_NOTE,0))</f>
        <v>18</v>
      </c>
      <c r="J98" s="1014"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4"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3" t="str">
        <f>IF(I98=0,"",I98)</f>
        <v>18</v>
      </c>
      <c r="M98" s="853"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3" t="str">
        <f>IF(K98=0,"",K98)</f>
        <v>Регулируемыми организациями указывается информация с по договорам, заключенным в рамках осуществления регулируемой деятельности.</v>
      </c>
      <c r="O98" s="966" t="s">
        <v>163</v>
      </c>
      <c r="P98" s="966"/>
      <c r="Q98" s="966"/>
      <c r="R98" s="966"/>
      <c r="S98" s="966"/>
      <c r="T98" s="852" t="s">
        <v>2304</v>
      </c>
      <c r="U98" s="852"/>
      <c r="V98" s="852"/>
      <c r="W98" s="852"/>
      <c r="X98" s="852"/>
      <c r="Y98" s="1009"/>
      <c r="Z98" s="855" t="s">
        <v>2302</v>
      </c>
      <c r="AA98" s="858"/>
      <c r="AB98" s="855"/>
      <c r="AC98" s="855"/>
      <c r="AD98" s="855"/>
    </row>
    <row customHeight="1" ht="90">
      <c r="A99" s="854"/>
      <c r="B99" s="908">
        <v>82</v>
      </c>
      <c r="C99" s="852" t="s">
        <v>2305</v>
      </c>
      <c r="D99" s="976"/>
      <c r="E99" s="852"/>
      <c r="F99" s="852"/>
      <c r="G99" s="852"/>
      <c r="H99" s="900"/>
      <c r="I99" s="1014" t="str">
        <f>INDEX(TEMPLATE_NUMBER_POINT_FHD,B99,MATCH(TEMPLATE_SPHERE,TEMPLATE_SPHERE_LIST_FOR_NOTE,0))</f>
        <v>19</v>
      </c>
      <c r="J99" s="1014"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4" t="str">
        <f>INDEX(TEMPLATE_NOTE_POINT_FHD,B99,MATCH(TEMPLATE_SPHERE,TEMPLATE_SPHERE_LIST_FOR_NOTE,0))</f>
        <v>Указывается ссылка на документ, предварительно загруженный в хранилище файлов ФГИС ЕИАС.</v>
      </c>
      <c r="L99" s="853" t="str">
        <f>IF(I99=0,"",I99)</f>
        <v>19</v>
      </c>
      <c r="M99" s="853"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3" t="str">
        <f>IF(K99=0,"",K99)</f>
        <v>Указывается ссылка на документ, предварительно загруженный в хранилище файлов ФГИС ЕИАС.</v>
      </c>
      <c r="O99" s="966" t="s">
        <v>166</v>
      </c>
      <c r="P99" s="966"/>
      <c r="Q99" s="966"/>
      <c r="R99" s="966"/>
      <c r="S99" s="966"/>
      <c r="T99" s="852" t="s">
        <v>2306</v>
      </c>
      <c r="U99" s="852"/>
      <c r="V99" s="852"/>
      <c r="W99" s="852"/>
      <c r="X99" s="852"/>
      <c r="Y99" s="1009"/>
      <c r="Z99" s="855" t="s">
        <v>734</v>
      </c>
      <c r="AA99" s="858"/>
      <c r="AB99" s="855"/>
      <c r="AC99" s="855"/>
      <c r="AD99" s="855"/>
    </row>
    <row customHeight="1" ht="27">
      <c r="A100" s="854"/>
      <c r="B100" s="908">
        <v>83</v>
      </c>
      <c r="C100" s="852"/>
      <c r="D100" s="976"/>
      <c r="E100" s="852"/>
      <c r="F100" s="852"/>
      <c r="G100" s="852"/>
      <c r="H100" s="900"/>
      <c r="I100" s="1014" t="str">
        <f>INDEX(TEMPLATE_NUMBER_POINT_FHD,B100,MATCH(TEMPLATE_SPHERE,TEMPLATE_SPHERE_LIST_FOR_NOTE,0))</f>
        <v>19.1</v>
      </c>
      <c r="J100" s="1014" t="str">
        <f>INDEX(TEMPLATE_DATA_POINT_FHD,B100,MATCH(TEMPLATE_SPHERE,TEMPLATE_SPHERE_LIST_FOR_NOTE,0))</f>
        <v>Информация о показателях физического износа объектов теплоснабжения</v>
      </c>
      <c r="K100" s="1014" t="str">
        <f>INDEX(TEMPLATE_NOTE_POINT_FHD,B100,MATCH(TEMPLATE_SPHERE,TEMPLATE_SPHERE_LIST_FOR_NOTE,0))</f>
        <v>Указывается ссылка на документ, предварительно загруженный в хранилище файлов ФГИС ЕИАС.</v>
      </c>
      <c r="L100" s="853" t="str">
        <f>IF(I100=0,"",I100)</f>
        <v>19.1</v>
      </c>
      <c r="M100" s="853" t="str">
        <f>IF(J100=0,"",J100)</f>
        <v>Информация о показателях физического износа объектов теплоснабжения</v>
      </c>
      <c r="N100" s="853" t="str">
        <f>IF(K100=0,"",K100)</f>
        <v>Указывается ссылка на документ, предварительно загруженный в хранилище файлов ФГИС ЕИАС.</v>
      </c>
      <c r="O100" s="966" t="s">
        <v>2307</v>
      </c>
      <c r="P100" s="966"/>
      <c r="Q100" s="966"/>
      <c r="R100" s="966"/>
      <c r="S100" s="966"/>
      <c r="T100" s="852" t="s">
        <v>2308</v>
      </c>
      <c r="U100" s="852"/>
      <c r="V100" s="852"/>
      <c r="W100" s="852"/>
      <c r="X100" s="852"/>
      <c r="Y100" s="1009"/>
      <c r="Z100" s="855" t="s">
        <v>734</v>
      </c>
      <c r="AA100" s="858"/>
      <c r="AB100" s="855"/>
      <c r="AC100" s="855"/>
      <c r="AD100" s="855"/>
    </row>
    <row customHeight="1" ht="27">
      <c r="A101" s="854"/>
      <c r="B101" s="908">
        <v>84</v>
      </c>
      <c r="C101" s="852"/>
      <c r="D101" s="976"/>
      <c r="E101" s="852"/>
      <c r="F101" s="852"/>
      <c r="G101" s="852"/>
      <c r="H101" s="900"/>
      <c r="I101" s="1014" t="str">
        <f>INDEX(TEMPLATE_NUMBER_POINT_FHD,B101,MATCH(TEMPLATE_SPHERE,TEMPLATE_SPHERE_LIST_FOR_NOTE,0))</f>
        <v>19.2</v>
      </c>
      <c r="J101" s="1014" t="str">
        <f>INDEX(TEMPLATE_DATA_POINT_FHD,B101,MATCH(TEMPLATE_SPHERE,TEMPLATE_SPHERE_LIST_FOR_NOTE,0))</f>
        <v>Информация о показателях энергетической эффективности объектов теплоснабжения</v>
      </c>
      <c r="K101" s="1014" t="str">
        <f>INDEX(TEMPLATE_NOTE_POINT_FHD,B101,MATCH(TEMPLATE_SPHERE,TEMPLATE_SPHERE_LIST_FOR_NOTE,0))</f>
        <v>Указывается ссылка на документ, предварительно загруженный в хранилище файлов ФГИС ЕИАС.</v>
      </c>
      <c r="L101" s="853" t="str">
        <f>IF(I101=0,"",I101)</f>
        <v>19.2</v>
      </c>
      <c r="M101" s="853" t="str">
        <f>IF(J101=0,"",J101)</f>
        <v>Информация о показателях энергетической эффективности объектов теплоснабжения</v>
      </c>
      <c r="N101" s="853" t="str">
        <f>IF(K101=0,"",K101)</f>
        <v>Указывается ссылка на документ, предварительно загруженный в хранилище файлов ФГИС ЕИАС.</v>
      </c>
      <c r="O101" s="966" t="s">
        <v>2309</v>
      </c>
      <c r="P101" s="966"/>
      <c r="Q101" s="966"/>
      <c r="R101" s="966"/>
      <c r="S101" s="966"/>
      <c r="T101" s="852" t="s">
        <v>2310</v>
      </c>
      <c r="U101" s="852"/>
      <c r="V101" s="852"/>
      <c r="W101" s="852"/>
      <c r="X101" s="852"/>
      <c r="Y101" s="1009"/>
      <c r="Z101" s="855" t="s">
        <v>734</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1748</v>
      </c>
      <c r="B148" s="854"/>
      <c r="C148" s="852" t="s">
        <v>2311</v>
      </c>
      <c r="D148" s="852" t="s">
        <v>187</v>
      </c>
      <c r="E148" s="852" t="s">
        <v>1750</v>
      </c>
      <c r="F148" s="852" t="s">
        <v>2312</v>
      </c>
      <c r="G148" s="852"/>
      <c r="H148" s="852"/>
      <c r="I148" s="972"/>
      <c r="J148" s="972"/>
      <c r="K148" s="972"/>
      <c r="L148" s="972"/>
      <c r="M148" s="90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7"/>
      <c r="O148" s="852"/>
      <c r="P148" s="853"/>
      <c r="Q148" s="853"/>
      <c r="R148" s="853"/>
      <c r="S148" s="852"/>
      <c r="T148" s="852" t="s">
        <v>2313</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3"/>
      <c r="W148" s="853"/>
      <c r="X148" s="852" t="s">
        <v>2314</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1752</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1755</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1760</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77FE6-17BF-EEA8-B9B1-0.97FBB7DA}"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2315</v>
      </c>
      <c r="M5" s="2612"/>
      <c r="N5" s="2612"/>
      <c r="O5" s="2612"/>
      <c r="P5" s="2612"/>
      <c r="Q5" s="2612"/>
      <c r="R5" s="2612"/>
      <c r="S5" s="2612"/>
      <c r="T5" s="2612"/>
      <c r="U5" s="2612"/>
      <c r="V5" s="1252"/>
      <c r="AD5" s="1164">
        <v>64</v>
      </c>
    </row>
    <row customHeight="1" ht="14.699999999999998">
      <c r="J6" s="385"/>
      <c r="K6" s="385"/>
      <c r="L6" s="2613" t="str">
        <f>IF(org=0,"Не определено",org)</f>
        <v>ООО "СамРЭК-Тепло Жигулевск"</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496</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497</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500</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373</v>
      </c>
      <c r="M14" s="2136"/>
      <c r="N14" s="2136"/>
      <c r="O14" s="2136"/>
      <c r="P14" s="2136"/>
      <c r="Q14" s="2136"/>
      <c r="R14" s="2136"/>
      <c r="S14" s="2136"/>
      <c r="T14" s="2136"/>
      <c r="U14" s="2136"/>
      <c r="V14" s="2136"/>
      <c r="W14" s="2136"/>
      <c r="X14" s="2136" t="s">
        <v>374</v>
      </c>
      <c r="AD14" s="1164">
        <v>14</v>
      </c>
    </row>
    <row customHeight="1" ht="14.699999999999998">
      <c r="J15" s="385"/>
      <c r="K15" s="385"/>
      <c r="L15" s="2282" t="s">
        <v>88</v>
      </c>
      <c r="M15" s="2218" t="s">
        <v>501</v>
      </c>
      <c r="N15" s="310"/>
      <c r="O15" s="2283" t="s">
        <v>2316</v>
      </c>
      <c r="P15" s="2284"/>
      <c r="Q15" s="2284"/>
      <c r="R15" s="2284"/>
      <c r="S15" s="2284"/>
      <c r="T15" s="2284"/>
      <c r="U15" s="2285"/>
      <c r="V15" s="2286" t="s">
        <v>503</v>
      </c>
      <c r="W15" s="2289" t="s">
        <v>1248</v>
      </c>
      <c r="X15" s="2136"/>
      <c r="AD15" s="1164">
        <v>14</v>
      </c>
    </row>
    <row customHeight="1" ht="35.699999999999996">
      <c r="J16" s="385"/>
      <c r="K16" s="385"/>
      <c r="L16" s="2282"/>
      <c r="M16" s="2218"/>
      <c r="N16" s="1040"/>
      <c r="O16" s="2269" t="s">
        <v>506</v>
      </c>
      <c r="P16" s="2269" t="s">
        <v>507</v>
      </c>
      <c r="Q16" s="2271" t="s">
        <v>508</v>
      </c>
      <c r="R16" s="2272"/>
      <c r="S16" s="2271" t="s">
        <v>522</v>
      </c>
      <c r="T16" s="2278"/>
      <c r="U16" s="2272"/>
      <c r="V16" s="2287"/>
      <c r="W16" s="2290"/>
      <c r="X16" s="2136"/>
      <c r="AD16" s="1164">
        <v>34</v>
      </c>
    </row>
    <row customHeight="1" ht="35.699999999999996">
      <c r="A17" s="1379" t="s">
        <v>215</v>
      </c>
      <c r="B17" s="1379" t="s">
        <v>216</v>
      </c>
      <c r="C17" s="1379" t="s">
        <v>217</v>
      </c>
      <c r="D17" s="1379" t="s">
        <v>218</v>
      </c>
      <c r="E17" s="1379"/>
      <c r="J17" s="385"/>
      <c r="K17" s="385"/>
      <c r="L17" s="2282"/>
      <c r="M17" s="2218"/>
      <c r="N17" s="311"/>
      <c r="O17" s="2270"/>
      <c r="P17" s="2270"/>
      <c r="Q17" s="1231" t="s">
        <v>517</v>
      </c>
      <c r="R17" s="1231" t="s">
        <v>518</v>
      </c>
      <c r="S17" s="1301" t="s">
        <v>519</v>
      </c>
      <c r="T17" s="2279" t="s">
        <v>520</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109</v>
      </c>
      <c r="M18" s="1264" t="s">
        <v>110</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243</v>
      </c>
      <c r="B19" s="1372" t="s">
        <v>244</v>
      </c>
      <c r="C19" s="1372" t="s">
        <v>245</v>
      </c>
      <c r="D19" s="1372" t="s">
        <v>246</v>
      </c>
      <c r="E19" s="1372"/>
      <c r="F19" s="1374"/>
      <c r="G19" s="1374"/>
      <c r="H19" s="1374"/>
      <c r="I19" s="370"/>
      <c r="J19" s="369"/>
      <c r="K19" s="364"/>
      <c r="L19" s="1302">
        <f>INDEX(PT_DIFFERENTIATION_NUM_NTAR,MATCH(A19,PT_DIFFERENTIATION_NTAR_ID,0))</f>
        <v>0</v>
      </c>
      <c r="M19" s="307" t="s">
        <v>204</v>
      </c>
      <c r="N19" s="309"/>
      <c r="O19" s="2615" t="str">
        <f>INDEX(PT_DIFFERENTIATION_NTAR,MATCH(A19,PT_DIFFERENTIATION_NTAR_ID,0))</f>
        <v/>
      </c>
      <c r="P19" s="2615"/>
      <c r="Q19" s="2615"/>
      <c r="R19" s="2615"/>
      <c r="S19" s="2615"/>
      <c r="T19" s="2615"/>
      <c r="U19" s="2615"/>
      <c r="V19" s="2615"/>
      <c r="W19" s="2615"/>
      <c r="X19" s="1267" t="s">
        <v>469</v>
      </c>
      <c r="Z19" s="509"/>
      <c r="AA19" s="509" t="str">
        <f>IF(M19="","",M19)</f>
        <v>Наименование тарифа</v>
      </c>
      <c r="AB19" s="509"/>
      <c r="AC19" s="509"/>
      <c r="AD19" s="1164">
        <v>20</v>
      </c>
    </row>
    <row customHeight="1" ht="21">
      <c r="A20" s="1372" t="s">
        <v>243</v>
      </c>
      <c r="B20" s="1372" t="s">
        <v>244</v>
      </c>
      <c r="C20" s="1372" t="s">
        <v>245</v>
      </c>
      <c r="D20" s="1372" t="s">
        <v>246</v>
      </c>
      <c r="E20" s="1372"/>
      <c r="F20" s="1374"/>
      <c r="G20" s="1374"/>
      <c r="H20" s="1374"/>
      <c r="I20" s="1299"/>
      <c r="J20" s="361"/>
      <c r="K20" s="362"/>
      <c r="L20" s="1302" t="str">
        <f>INDEX(PT_DIFFERENTIATION_NUM_TER,MATCH(B19,PT_DIFFERENTIATION_TER_ID,0))</f>
        <v>.</v>
      </c>
      <c r="M20" s="317" t="s">
        <v>470</v>
      </c>
      <c r="N20" s="309"/>
      <c r="O20" s="2615" t="str">
        <f>INDEX(PT_DIFFERENTIATION_TER,MATCH(B19,PT_DIFFERENTIATION_TER_ID,0))</f>
        <v/>
      </c>
      <c r="P20" s="2615"/>
      <c r="Q20" s="2615"/>
      <c r="R20" s="2615"/>
      <c r="S20" s="2615"/>
      <c r="T20" s="2615"/>
      <c r="U20" s="2615"/>
      <c r="V20" s="2615"/>
      <c r="W20" s="2615"/>
      <c r="X20" s="1267" t="s">
        <v>471</v>
      </c>
      <c r="Z20" s="509"/>
      <c r="AA20" s="509" t="str">
        <f>IF(M20="","",M20)</f>
        <v>Территория действия тарифа</v>
      </c>
      <c r="AB20" s="509"/>
      <c r="AC20" s="509"/>
      <c r="AD20" s="1164">
        <v>20</v>
      </c>
    </row>
    <row customHeight="1" ht="24">
      <c r="A21" s="1372" t="s">
        <v>243</v>
      </c>
      <c r="B21" s="1372" t="s">
        <v>244</v>
      </c>
      <c r="C21" s="1372" t="s">
        <v>245</v>
      </c>
      <c r="D21" s="1372" t="s">
        <v>246</v>
      </c>
      <c r="E21" s="1372"/>
      <c r="F21" s="1374"/>
      <c r="G21" s="1374"/>
      <c r="H21" s="1374"/>
      <c r="I21" s="363"/>
      <c r="J21" s="361"/>
      <c r="K21" s="362"/>
      <c r="L21" s="1302" t="str">
        <f>INDEX(PT_DIFFERENTIATION_NUM_CS,MATCH(C19,PT_DIFFERENTIATION_CS_ID,0))</f>
        <v>..</v>
      </c>
      <c r="M21" s="318" t="s">
        <v>472</v>
      </c>
      <c r="N21" s="309"/>
      <c r="O21" s="2615" t="str">
        <f>INDEX(PT_DIFFERENTIATION_CS,MATCH(C19,PT_DIFFERENTIATION_CS_ID,0))</f>
        <v/>
      </c>
      <c r="P21" s="2615"/>
      <c r="Q21" s="2615"/>
      <c r="R21" s="2615"/>
      <c r="S21" s="2615"/>
      <c r="T21" s="2615"/>
      <c r="U21" s="2615"/>
      <c r="V21" s="2615"/>
      <c r="W21" s="2615"/>
      <c r="X21" s="1267" t="s">
        <v>473</v>
      </c>
      <c r="Z21" s="509"/>
      <c r="AA21" s="509" t="str">
        <f>IF(M21="","",M21)</f>
        <v>Наименование системы теплоснабжения </v>
      </c>
      <c r="AB21" s="509"/>
      <c r="AC21" s="509"/>
      <c r="AD21" s="1164">
        <v>23</v>
      </c>
    </row>
    <row customHeight="1" ht="21">
      <c r="A22" s="1372" t="s">
        <v>243</v>
      </c>
      <c r="B22" s="1372" t="s">
        <v>244</v>
      </c>
      <c r="C22" s="1372" t="s">
        <v>245</v>
      </c>
      <c r="D22" s="1372" t="s">
        <v>246</v>
      </c>
      <c r="E22" s="1372"/>
      <c r="F22" s="1374"/>
      <c r="G22" s="1374"/>
      <c r="H22" s="1374"/>
      <c r="I22" s="363"/>
      <c r="J22" s="361"/>
      <c r="K22" s="362"/>
      <c r="L22" s="1302" t="str">
        <f>INDEX(PT_DIFFERENTIATION_NUM_IST_TE,MATCH(D19,PT_DIFFERENTIATION_IST_TE_ID,0))</f>
        <v>...</v>
      </c>
      <c r="M22" s="319" t="s">
        <v>474</v>
      </c>
      <c r="N22" s="309"/>
      <c r="O22" s="2615" t="str">
        <f>INDEX(PT_DIFFERENTIATION_IST_TE,MATCH(D19,PT_DIFFERENTIATION_IST_TE_ID,0))</f>
        <v/>
      </c>
      <c r="P22" s="2615"/>
      <c r="Q22" s="2615"/>
      <c r="R22" s="2615"/>
      <c r="S22" s="2615"/>
      <c r="T22" s="2615"/>
      <c r="U22" s="2615"/>
      <c r="V22" s="2615"/>
      <c r="W22" s="2615"/>
      <c r="X22" s="1267" t="s">
        <v>475</v>
      </c>
      <c r="Z22" s="509"/>
      <c r="AA22" s="509" t="str">
        <f>IF(M22="","",M22)</f>
        <v>Источник тепловой энергии  </v>
      </c>
      <c r="AB22" s="509"/>
      <c r="AC22" s="509"/>
      <c r="AD22" s="1164">
        <v>20</v>
      </c>
    </row>
    <row customHeight="1" ht="96.75">
      <c r="A23" s="1372" t="s">
        <v>243</v>
      </c>
      <c r="B23" s="1372" t="s">
        <v>244</v>
      </c>
      <c r="C23" s="1372" t="s">
        <v>245</v>
      </c>
      <c r="D23" s="1372" t="s">
        <v>246</v>
      </c>
      <c r="E23" s="1372"/>
      <c r="F23" s="2616" t="str">
        <f>L22&amp;".1"</f>
        <v>....1</v>
      </c>
      <c r="I23" s="2266">
        <v>1</v>
      </c>
      <c r="J23" s="1300"/>
      <c r="K23" s="365"/>
      <c r="L23" s="1302" t="str">
        <f>$F$23</f>
        <v>....1</v>
      </c>
      <c r="M23" s="294" t="s">
        <v>477</v>
      </c>
      <c r="N23" s="309"/>
      <c r="O23" s="2314"/>
      <c r="P23" s="2314"/>
      <c r="Q23" s="2314"/>
      <c r="R23" s="2314"/>
      <c r="S23" s="2314"/>
      <c r="T23" s="2314"/>
      <c r="U23" s="2314"/>
      <c r="V23" s="2314"/>
      <c r="W23" s="2314"/>
      <c r="X23" s="1267" t="s">
        <v>478</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243</v>
      </c>
      <c r="B24" s="1372" t="s">
        <v>244</v>
      </c>
      <c r="C24" s="1372" t="s">
        <v>245</v>
      </c>
      <c r="D24" s="1372" t="s">
        <v>246</v>
      </c>
      <c r="E24" s="1372"/>
      <c r="F24" s="2616"/>
      <c r="G24" s="2226" t="str">
        <f>F23&amp;".1"</f>
        <v>....1.1</v>
      </c>
      <c r="I24" s="2266"/>
      <c r="J24" s="2266">
        <v>1</v>
      </c>
      <c r="K24" s="366"/>
      <c r="L24" s="1302" t="str">
        <f>$G$24</f>
        <v>....1.1</v>
      </c>
      <c r="M24" s="295" t="s">
        <v>480</v>
      </c>
      <c r="N24" s="309"/>
      <c r="O24" s="2254"/>
      <c r="P24" s="2255"/>
      <c r="Q24" s="2255"/>
      <c r="R24" s="2255"/>
      <c r="S24" s="2255"/>
      <c r="T24" s="2255"/>
      <c r="U24" s="2255"/>
      <c r="V24" s="2255"/>
      <c r="W24" s="2256"/>
      <c r="X24" s="1267" t="s">
        <v>481</v>
      </c>
      <c r="Z24" s="509"/>
      <c r="AA24" s="509" t="str">
        <f>IF(M24="","",M24)</f>
        <v>Группа потребителей</v>
      </c>
      <c r="AB24" s="509"/>
      <c r="AC24" s="509"/>
      <c r="AD24" s="1164">
        <v>82</v>
      </c>
    </row>
    <row customHeight="1" ht="11.549999999999999">
      <c r="A25" s="1372" t="s">
        <v>243</v>
      </c>
      <c r="B25" s="1372" t="s">
        <v>244</v>
      </c>
      <c r="C25" s="1372" t="s">
        <v>245</v>
      </c>
      <c r="D25" s="1372" t="s">
        <v>246</v>
      </c>
      <c r="E25" s="1372"/>
      <c r="F25" s="2616"/>
      <c r="G25" s="2226"/>
      <c r="H25" s="2226" t="str">
        <f>G24&amp;".1"</f>
        <v>....1.1.1</v>
      </c>
      <c r="I25" s="2266"/>
      <c r="J25" s="2266"/>
      <c r="K25" s="366">
        <v>1</v>
      </c>
      <c r="L25" s="1302" t="str">
        <f>$H$25</f>
        <v>....1.1.1</v>
      </c>
      <c r="M25" s="1356"/>
      <c r="N25" s="309"/>
      <c r="O25" s="760"/>
      <c r="P25" s="334"/>
      <c r="Q25" s="760"/>
      <c r="R25" s="1266"/>
      <c r="S25" s="2611"/>
      <c r="T25" s="2116" t="s">
        <v>66</v>
      </c>
      <c r="U25" s="2611"/>
      <c r="V25" s="2116" t="s">
        <v>19</v>
      </c>
      <c r="W25" s="334"/>
      <c r="X25" s="2262" t="s">
        <v>483</v>
      </c>
      <c r="Y25" s="520">
        <f>STRCHECKDATE(O26:W26)</f>
      </c>
      <c r="Z25" s="509"/>
      <c r="AA25" s="509" t="str">
        <f>IF(M25="","",M25)</f>
        <v/>
      </c>
      <c r="AB25" s="509"/>
      <c r="AC25" s="509"/>
      <c r="AD25" s="1164">
        <v>11</v>
      </c>
    </row>
    <row customHeight="1" ht="11.549999999999999">
      <c r="A26" s="1372" t="s">
        <v>243</v>
      </c>
      <c r="B26" s="1372" t="s">
        <v>244</v>
      </c>
      <c r="C26" s="1372" t="s">
        <v>245</v>
      </c>
      <c r="D26" s="1372" t="s">
        <v>246</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243</v>
      </c>
      <c r="B27" s="1372" t="s">
        <v>244</v>
      </c>
      <c r="C27" s="1372" t="s">
        <v>245</v>
      </c>
      <c r="D27" s="1372" t="s">
        <v>246</v>
      </c>
      <c r="E27" s="1372"/>
      <c r="F27" s="2616"/>
      <c r="G27" s="2226"/>
      <c r="I27" s="2266"/>
      <c r="J27" s="2266"/>
      <c r="K27" s="365"/>
      <c r="L27" s="1287"/>
      <c r="M27" s="297" t="s">
        <v>484</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243</v>
      </c>
      <c r="B28" s="1372" t="s">
        <v>244</v>
      </c>
      <c r="C28" s="1372" t="s">
        <v>245</v>
      </c>
      <c r="D28" s="1372" t="s">
        <v>246</v>
      </c>
      <c r="E28" s="1372"/>
      <c r="F28" s="2616"/>
      <c r="I28" s="2266"/>
      <c r="J28" s="1300"/>
      <c r="K28" s="365"/>
      <c r="L28" s="1287"/>
      <c r="M28" s="296" t="s">
        <v>485</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243</v>
      </c>
      <c r="B29" s="1372" t="s">
        <v>244</v>
      </c>
      <c r="C29" s="1372" t="s">
        <v>245</v>
      </c>
      <c r="D29" s="1372" t="s">
        <v>246</v>
      </c>
      <c r="E29" s="1372"/>
      <c r="F29" s="1374"/>
      <c r="G29" s="1374"/>
      <c r="H29" s="546"/>
      <c r="I29" s="369"/>
      <c r="J29" s="384"/>
      <c r="K29" s="364"/>
      <c r="L29" s="1287"/>
      <c r="M29" s="374" t="s">
        <v>486</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243</v>
      </c>
      <c r="B30" s="1372" t="s">
        <v>244</v>
      </c>
      <c r="C30" s="1372" t="s">
        <v>245</v>
      </c>
      <c r="D30" s="1372"/>
      <c r="E30" s="1372" t="s">
        <v>659</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243</v>
      </c>
      <c r="B31" s="1372" t="s">
        <v>244</v>
      </c>
      <c r="C31" s="1372"/>
      <c r="D31" s="1372"/>
      <c r="E31" s="1372" t="s">
        <v>2317</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2318</v>
      </c>
      <c r="B32" s="1372"/>
      <c r="C32" s="1372"/>
      <c r="D32" s="1372"/>
      <c r="E32" s="1372" t="s">
        <v>104</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521</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906</v>
      </c>
      <c r="M35" s="2294" t="s">
        <v>2319</v>
      </c>
      <c r="N35" s="2294"/>
      <c r="O35" s="2294"/>
      <c r="P35" s="2294"/>
      <c r="Q35" s="2294"/>
      <c r="R35" s="2294"/>
      <c r="S35" s="2294"/>
      <c r="T35" s="2294"/>
      <c r="U35" s="2294"/>
      <c r="V35" s="2294"/>
      <c r="W35" s="2294"/>
      <c r="X35" s="2294"/>
      <c r="AD35" s="1164">
        <v>27</v>
      </c>
    </row>
    <row customHeight="1" ht="109.19999999999999">
      <c r="H36" s="546"/>
      <c r="I36" s="1312"/>
      <c r="M36" s="2294" t="s">
        <v>2320</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82</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0BD049-45CA-1C02-7B7D-0.9B5609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B279B9-2E93-7BFD-4299-0.284D12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8C381-D05D-DE94-A5FC-0.71381F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F9EA64-CAB4-FD8D-F092-0.A259FD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A9658-7BA1-33BE-E6DA-0.F50C8C6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DC6399-478D-62AD-281B-0.11EE50A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372</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7"/>
      <c r="F4" s="2168"/>
      <c r="I4" s="724"/>
      <c r="J4" s="464">
        <v>26</v>
      </c>
    </row>
    <row customHeight="1" ht="18">
      <c r="D5" s="2185" t="str">
        <f>IF(org=0,"Не определено",org)</f>
        <v>ООО "СамРЭК-Тепло Жигулевск"</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373</v>
      </c>
      <c r="E8" s="2214"/>
      <c r="F8" s="2214"/>
      <c r="G8" s="2217" t="s">
        <v>374</v>
      </c>
      <c r="J8" s="464">
        <v>11</v>
      </c>
    </row>
    <row customHeight="1" ht="11.549999999999999">
      <c r="A9" s="466"/>
      <c r="B9" s="511"/>
      <c r="C9" s="466"/>
      <c r="D9" s="481" t="s">
        <v>88</v>
      </c>
      <c r="E9" s="455" t="s">
        <v>375</v>
      </c>
      <c r="F9" s="455" t="s">
        <v>376</v>
      </c>
      <c r="G9" s="2218"/>
      <c r="J9" s="464">
        <v>11</v>
      </c>
    </row>
    <row customHeight="1" ht="12" hidden="1">
      <c r="A10" s="466"/>
      <c r="B10" s="511"/>
      <c r="C10" s="466"/>
      <c r="D10" s="473"/>
      <c r="E10" s="473"/>
      <c r="F10" s="473"/>
      <c r="G10" s="473"/>
      <c r="J10" s="464">
        <v>0</v>
      </c>
    </row>
    <row customHeight="1" ht="22.5" hidden="1">
      <c r="A11" s="466"/>
      <c r="B11" s="511"/>
      <c r="C11" s="466"/>
      <c r="D11" s="1018" t="s">
        <v>109</v>
      </c>
      <c r="E11" s="1021" t="s">
        <v>377</v>
      </c>
      <c r="F11" s="1020" t="str">
        <f>IF(region_name="","",region_name)</f>
        <v>Самарская область</v>
      </c>
      <c r="G11" s="1021" t="s">
        <v>378</v>
      </c>
      <c r="H11" s="484"/>
      <c r="J11" s="464">
        <v>0</v>
      </c>
    </row>
    <row customHeight="1" ht="22.5" hidden="1">
      <c r="A12" s="466"/>
      <c r="B12" s="511"/>
      <c r="C12" s="466"/>
      <c r="D12" s="454" t="s">
        <v>109</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2" t="s">
        <v>379</v>
      </c>
      <c r="G12" s="483"/>
      <c r="H12" s="484"/>
      <c r="J12" s="464">
        <v>0</v>
      </c>
    </row>
    <row customHeight="1" ht="23.25">
      <c r="A13" s="466"/>
      <c r="B13" s="511"/>
      <c r="C13" s="466"/>
      <c r="D13" s="454" t="s">
        <v>109</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4"/>
      <c r="J13" s="464">
        <v>22</v>
      </c>
    </row>
    <row customHeight="1" ht="22.5" hidden="1">
      <c r="A14" s="466"/>
      <c r="B14" s="511"/>
      <c r="C14" s="466"/>
      <c r="D14" s="1018" t="s">
        <v>380</v>
      </c>
      <c r="E14" s="1019" t="s">
        <v>381</v>
      </c>
      <c r="F14" s="1020" t="str">
        <f>IF(inn="","",inn)</f>
        <v>6382079233</v>
      </c>
      <c r="G14" s="1021" t="s">
        <v>382</v>
      </c>
      <c r="H14" s="484"/>
      <c r="J14" s="464">
        <v>0</v>
      </c>
    </row>
    <row customHeight="1" ht="22.5" hidden="1">
      <c r="A15" s="466"/>
      <c r="B15" s="511"/>
      <c r="C15" s="466"/>
      <c r="D15" s="1018" t="s">
        <v>383</v>
      </c>
      <c r="E15" s="1019" t="s">
        <v>384</v>
      </c>
      <c r="F15" s="1020" t="str">
        <f>IF(kpp="","",kpp)</f>
        <v>638201001</v>
      </c>
      <c r="G15" s="1021" t="s">
        <v>385</v>
      </c>
      <c r="H15" s="484"/>
      <c r="J15" s="464">
        <v>0</v>
      </c>
    </row>
    <row customHeight="1" ht="39">
      <c r="A16" s="466"/>
      <c r="B16" s="511"/>
      <c r="C16" s="466"/>
      <c r="D16" s="454" t="s">
        <v>110</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90</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91</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386</v>
      </c>
      <c r="B19" s="511"/>
      <c r="C19" s="2222"/>
      <c r="D19" s="454" t="str">
        <f>A19</f>
        <v>5.1</v>
      </c>
      <c r="E19" s="451" t="s">
        <v>387</v>
      </c>
      <c r="F19" s="452" t="s">
        <v>379</v>
      </c>
      <c r="G19" s="453" t="s">
        <v>388</v>
      </c>
      <c r="H19" s="484"/>
      <c r="I19" s="861"/>
      <c r="J19" s="464">
        <v>0</v>
      </c>
    </row>
    <row customHeight="1" ht="24" hidden="1">
      <c r="A20" s="2211"/>
      <c r="B20" s="511"/>
      <c r="C20" s="2222"/>
      <c r="D20" s="449" t="str">
        <f>D19&amp;".1"</f>
        <v>5.1.1</v>
      </c>
      <c r="E20" s="448" t="s">
        <v>389</v>
      </c>
      <c r="F20" s="890" t="s">
        <v>22</v>
      </c>
      <c r="G20" s="483"/>
      <c r="H20" s="484"/>
      <c r="I20" s="861"/>
      <c r="J20" s="464">
        <v>0</v>
      </c>
    </row>
    <row customHeight="1" ht="22.5" hidden="1">
      <c r="A21" s="2211"/>
      <c r="B21" s="511"/>
      <c r="C21" s="2222"/>
      <c r="D21" s="449" t="str">
        <f>D19&amp;".2"</f>
        <v>5.1.2</v>
      </c>
      <c r="E21" s="448" t="s">
        <v>390</v>
      </c>
      <c r="F21" s="1742" t="s">
        <v>22</v>
      </c>
      <c r="G21" s="453" t="s">
        <v>391</v>
      </c>
      <c r="H21" s="484"/>
      <c r="I21" s="861"/>
      <c r="J21" s="464">
        <v>0</v>
      </c>
    </row>
    <row customHeight="1" ht="22.5" hidden="1">
      <c r="A22" s="2211"/>
      <c r="B22" s="511"/>
      <c r="C22" s="2222"/>
      <c r="D22" s="449" t="str">
        <f>D19&amp;".3"</f>
        <v>5.1.3</v>
      </c>
      <c r="E22" s="448" t="s">
        <v>392</v>
      </c>
      <c r="F22" s="890" t="s">
        <v>22</v>
      </c>
      <c r="G22" s="483"/>
      <c r="H22" s="484"/>
      <c r="I22" s="861"/>
      <c r="J22" s="464">
        <v>0</v>
      </c>
    </row>
    <row customHeight="1" ht="22.5" hidden="1">
      <c r="A23" s="2211"/>
      <c r="B23" s="511"/>
      <c r="C23" s="2222"/>
      <c r="D23" s="449" t="str">
        <f>D19&amp;".4"</f>
        <v>5.1.4</v>
      </c>
      <c r="E23" s="448" t="s">
        <v>393</v>
      </c>
      <c r="F23" s="890" t="s">
        <v>22</v>
      </c>
      <c r="G23" s="453" t="s">
        <v>394</v>
      </c>
      <c r="H23" s="484"/>
      <c r="I23" s="861"/>
      <c r="J23" s="464">
        <v>0</v>
      </c>
    </row>
    <row customHeight="1" ht="22.5" hidden="1">
      <c r="A24" s="1987"/>
      <c r="B24" s="511"/>
      <c r="C24" s="501"/>
      <c r="D24" s="476"/>
      <c r="E24" s="1177" t="s">
        <v>395</v>
      </c>
      <c r="F24" s="477"/>
      <c r="G24" s="478"/>
      <c r="H24" s="484"/>
      <c r="I24" s="861"/>
      <c r="J24" s="464">
        <v>0</v>
      </c>
    </row>
    <row s="510" customFormat="1" customHeight="1" ht="24.75" hidden="1">
      <c r="A25" s="466"/>
      <c r="B25" s="511"/>
      <c r="C25" s="511"/>
      <c r="D25" s="1015" t="s">
        <v>90</v>
      </c>
      <c r="E25" s="1017" t="s">
        <v>396</v>
      </c>
      <c r="F25" s="1022" t="s">
        <v>379</v>
      </c>
      <c r="G25" s="1017"/>
      <c r="J25" s="510">
        <v>0</v>
      </c>
    </row>
    <row s="510" customFormat="1" customHeight="1" ht="11.25" hidden="1">
      <c r="A26" s="466"/>
      <c r="B26" s="511"/>
      <c r="C26" s="511"/>
      <c r="D26" s="1015" t="s">
        <v>397</v>
      </c>
      <c r="E26" s="1016" t="s">
        <v>398</v>
      </c>
      <c r="F26" s="1022" t="s">
        <v>379</v>
      </c>
      <c r="G26" s="1017"/>
      <c r="J26" s="510">
        <v>0</v>
      </c>
    </row>
    <row s="510" customFormat="1" customHeight="1" ht="11.25" hidden="1">
      <c r="A27" s="466"/>
      <c r="B27" s="511"/>
      <c r="C27" s="511"/>
      <c r="D27" s="1015" t="s">
        <v>399</v>
      </c>
      <c r="E27" s="1023" t="s">
        <v>400</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401</v>
      </c>
      <c r="E28" s="1023" t="s">
        <v>402</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403</v>
      </c>
      <c r="E29" s="1023" t="s">
        <v>404</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405</v>
      </c>
      <c r="E30" s="1016" t="s">
        <v>406</v>
      </c>
      <c r="F30" s="1024"/>
      <c r="G30" s="1017"/>
      <c r="J30" s="510">
        <v>0</v>
      </c>
    </row>
    <row s="510" customFormat="1" customHeight="1" ht="11.25" hidden="1">
      <c r="A31" s="466"/>
      <c r="B31" s="511"/>
      <c r="C31" s="511"/>
      <c r="D31" s="1015" t="s">
        <v>407</v>
      </c>
      <c r="E31" s="1016" t="s">
        <v>408</v>
      </c>
      <c r="F31" s="1024"/>
      <c r="G31" s="1017"/>
      <c r="J31" s="510">
        <v>0</v>
      </c>
    </row>
    <row s="510" customFormat="1" customHeight="1" ht="11.25" hidden="1">
      <c r="A32" s="466"/>
      <c r="B32" s="511"/>
      <c r="C32" s="511"/>
      <c r="D32" s="1015" t="s">
        <v>409</v>
      </c>
      <c r="E32" s="1016" t="s">
        <v>410</v>
      </c>
      <c r="F32" s="1025"/>
      <c r="G32" s="1017"/>
      <c r="J32" s="510">
        <v>0</v>
      </c>
    </row>
    <row customHeight="1" ht="24">
      <c r="A33" s="466" t="str">
        <f>IF(TEMPLATE_SPHERE="HEAT","6","5")</f>
        <v>6</v>
      </c>
      <c r="B33" s="511"/>
      <c r="C33" s="466"/>
      <c r="D33" s="449" t="str">
        <f>A33</f>
        <v>6</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2" t="s">
        <v>379</v>
      </c>
      <c r="G33" s="483"/>
      <c r="H33" s="484"/>
      <c r="J33" s="464">
        <v>23</v>
      </c>
    </row>
    <row customHeight="1" ht="23.25">
      <c r="A34" s="466"/>
      <c r="B34" s="511"/>
      <c r="C34" s="466"/>
      <c r="D34" s="449" t="str">
        <f>D33&amp;".1"</f>
        <v>6.1</v>
      </c>
      <c r="E34" s="451" t="str">
        <f>"фамилия"&amp;IF(TEMPLATE_SPHERE&lt;&gt;"HEAT"," руководителя","")</f>
        <v>фамилия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4"/>
      <c r="J34" s="464">
        <v>22</v>
      </c>
    </row>
    <row customHeight="1" ht="23.25">
      <c r="A35" s="466"/>
      <c r="B35" s="511"/>
      <c r="C35" s="466"/>
      <c r="D35" s="449" t="str">
        <f>D33&amp;".2"</f>
        <v>6.2</v>
      </c>
      <c r="E35" s="451" t="str">
        <f>"имя"&amp;IF(TEMPLATE_SPHERE&lt;&gt;"HEAT"," руководителя","")</f>
        <v>имя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4"/>
      <c r="J35" s="464">
        <v>22</v>
      </c>
    </row>
    <row customHeight="1" ht="24">
      <c r="A36" s="466"/>
      <c r="B36" s="511"/>
      <c r="C36" s="466"/>
      <c r="D36" s="449" t="str">
        <f>D33&amp;".3"</f>
        <v>6.3</v>
      </c>
      <c r="E36" s="451" t="str">
        <f>"отчество"&amp;IF(TEMPLATE_SPHERE&lt;&gt;"HEAT"," руководителя","")</f>
        <v>отчество</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4"/>
      <c r="J36" s="464">
        <v>23</v>
      </c>
    </row>
    <row customHeight="1" ht="35.699999999999996">
      <c r="A37" s="466"/>
      <c r="B37" s="511"/>
      <c r="C37" s="466"/>
      <c r="D37" s="449">
        <f>D33+1</f>
        <v>7</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0"/>
      <c r="G37" s="453" t="s">
        <v>411</v>
      </c>
      <c r="H37" s="484"/>
      <c r="J37" s="464">
        <v>34</v>
      </c>
    </row>
    <row customHeight="1" ht="35.699999999999996">
      <c r="A38" s="466"/>
      <c r="B38" s="511"/>
      <c r="C38" s="466"/>
      <c r="D38" s="449">
        <f>D37+1</f>
        <v>8</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0"/>
      <c r="G38" s="453" t="s">
        <v>411</v>
      </c>
      <c r="H38" s="484"/>
      <c r="J38" s="464">
        <v>34</v>
      </c>
    </row>
    <row customHeight="1" ht="23.25">
      <c r="A39" s="466"/>
      <c r="B39" s="511"/>
      <c r="C39" s="466"/>
      <c r="D39" s="449">
        <f>D38+1</f>
        <v>9</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2" t="s">
        <v>379</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9.0</v>
      </c>
      <c r="E40" s="1614"/>
      <c r="F40" s="890"/>
      <c r="G40" s="2220"/>
      <c r="H40" s="484"/>
      <c r="J40" s="464">
        <v>0</v>
      </c>
    </row>
    <row customHeight="1" ht="23.25">
      <c r="A41" s="466"/>
      <c r="B41" s="466"/>
      <c r="C41" s="1697"/>
      <c r="D41" s="449" t="str">
        <f>D39&amp;".1"</f>
        <v>9.1</v>
      </c>
      <c r="E41" s="869"/>
      <c r="F41" s="870"/>
      <c r="G41" s="2220"/>
      <c r="H41" s="484"/>
      <c r="J41" s="464">
        <v>22</v>
      </c>
    </row>
    <row customHeight="1" ht="15.75">
      <c r="A42" s="466"/>
      <c r="B42" s="511"/>
      <c r="C42" s="466"/>
      <c r="D42" s="476"/>
      <c r="E42" s="424" t="s">
        <v>412</v>
      </c>
      <c r="F42" s="478"/>
      <c r="G42" s="2221"/>
      <c r="H42" s="485"/>
      <c r="J42" s="464">
        <v>15</v>
      </c>
    </row>
    <row customHeight="1" ht="27.299999999999997">
      <c r="A43" s="466"/>
      <c r="B43" s="511"/>
      <c r="C43" s="466"/>
      <c r="D43" s="449">
        <f>D39+1</f>
        <v>10</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11</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7"/>
      <c r="G44" s="483" t="s">
        <v>413</v>
      </c>
      <c r="H44" s="484"/>
      <c r="J44" s="464">
        <v>22</v>
      </c>
    </row>
    <row customHeight="1" ht="23.25">
      <c r="A45" s="466"/>
      <c r="B45" s="511"/>
      <c r="C45" s="466"/>
      <c r="D45" s="449">
        <f>D44+1</f>
        <v>12</v>
      </c>
      <c r="E45" s="447" t="s">
        <v>414</v>
      </c>
      <c r="F45" s="452" t="s">
        <v>379</v>
      </c>
      <c r="G45" s="446" t="str">
        <f>IF(TEMPLATE_SPHERE="TKO","Указывается режим работы организации.","")</f>
        <v/>
      </c>
      <c r="H45" s="484"/>
      <c r="J45" s="464">
        <v>22</v>
      </c>
    </row>
    <row customHeight="1" ht="24">
      <c r="A46" s="466"/>
      <c r="B46" s="511"/>
      <c r="C46" s="466"/>
      <c r="D46" s="449" t="str">
        <f>D45&amp;".1"</f>
        <v>12.1</v>
      </c>
      <c r="E46" s="451" t="str">
        <f>"режим работы регулируемой организации"&amp;IF(TEMPLATE_SPHERE="HEAT",", ЕТО, ТО","")</f>
        <v>режим работы регулируемой организации, ЕТО, ТО</v>
      </c>
      <c r="F46" s="1693"/>
      <c r="G46" s="446" t="s">
        <v>415</v>
      </c>
      <c r="H46" s="484"/>
      <c r="J46" s="464">
        <v>23</v>
      </c>
    </row>
    <row customHeight="1" ht="24">
      <c r="A47" s="2211"/>
      <c r="B47" s="511"/>
      <c r="C47" s="501"/>
      <c r="D47" s="449" t="str">
        <f>D45&amp;".2"</f>
        <v>12.2</v>
      </c>
      <c r="E47" s="451" t="s">
        <v>416</v>
      </c>
      <c r="F47" s="499"/>
      <c r="G47" s="446" t="s">
        <v>417</v>
      </c>
      <c r="H47" s="484"/>
      <c r="J47" s="464">
        <v>23</v>
      </c>
    </row>
    <row customHeight="1" ht="24">
      <c r="A48" s="2211"/>
      <c r="B48" s="511"/>
      <c r="C48" s="501"/>
      <c r="D48" s="449" t="str">
        <f>D45&amp;".3"</f>
        <v>12.3</v>
      </c>
      <c r="E48" s="451" t="s">
        <v>418</v>
      </c>
      <c r="F48" s="499"/>
      <c r="G48" s="446" t="s">
        <v>419</v>
      </c>
      <c r="H48" s="484"/>
      <c r="J48" s="464">
        <v>23</v>
      </c>
    </row>
    <row customHeight="1" ht="24">
      <c r="A49" s="2211"/>
      <c r="B49" s="511"/>
      <c r="C49" s="501"/>
      <c r="D49" s="449" t="str">
        <f>IF(TEMPLATE_SPHERE="TKO",D45&amp;".0",D45&amp;".4")</f>
        <v>12.4</v>
      </c>
      <c r="E49" s="445" t="s">
        <v>420</v>
      </c>
      <c r="F49" s="1694"/>
      <c r="G49" s="1771" t="s">
        <v>421</v>
      </c>
      <c r="H49" s="484"/>
      <c r="J49" s="464">
        <v>23</v>
      </c>
    </row>
    <row customHeight="1" ht="24">
      <c r="A50" s="466"/>
      <c r="B50" s="511"/>
      <c r="C50" s="466"/>
      <c r="D50" s="476"/>
      <c r="E50" s="424" t="s">
        <v>422</v>
      </c>
      <c r="F50" s="477"/>
      <c r="G50" s="1771" t="s">
        <v>423</v>
      </c>
      <c r="H50" s="485"/>
      <c r="J50" s="464">
        <v>23</v>
      </c>
    </row>
    <row customHeight="1" ht="24">
      <c r="A51" s="867"/>
      <c r="B51" s="511"/>
      <c r="C51" s="501"/>
      <c r="D51" s="449">
        <f>D45+1</f>
        <v>13</v>
      </c>
      <c r="E51" s="537" t="s">
        <v>424</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82</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A3A7F-08C7-280D-1655-0.E8E1D1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110F7C-EBCF-4901-B057-0.E1F92EE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57B14-62FE-0A38-658A-0.8924F06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5A5B1-3BDC-F5F1-5DD7-0.90C3289E}"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2321</v>
      </c>
      <c r="B1" s="2625" t="s">
        <v>2322</v>
      </c>
      <c r="C1" s="2626" t="s">
        <v>2323</v>
      </c>
      <c r="D1" s="2627"/>
      <c r="E1" s="845" t="s">
        <v>2324</v>
      </c>
    </row>
    <row customHeight="1" ht="11.25">
      <c r="A2" s="2628"/>
      <c r="B2" s="774" t="s">
        <v>27</v>
      </c>
      <c r="C2" s="762"/>
      <c r="D2" s="773"/>
      <c r="E2" s="845"/>
    </row>
    <row customHeight="1" ht="11.25">
      <c r="A3" s="2629"/>
      <c r="B3" s="2630" t="s">
        <v>33</v>
      </c>
      <c r="C3" s="762"/>
      <c r="D3" s="773"/>
      <c r="E3" s="845"/>
    </row>
    <row customHeight="1" ht="11.25">
      <c r="A4" s="2631"/>
      <c r="B4" s="775" t="s">
        <v>1748</v>
      </c>
      <c r="C4" s="762"/>
      <c r="D4" s="773"/>
      <c r="E4" s="845"/>
    </row>
    <row customHeight="1" ht="11.25">
      <c r="A5" s="2632"/>
      <c r="B5" s="775" t="s">
        <v>1742</v>
      </c>
      <c r="C5" s="2633" t="s">
        <v>2088</v>
      </c>
      <c r="D5" s="2634" t="s">
        <v>2325</v>
      </c>
      <c r="E5" s="845"/>
    </row>
    <row s="1859" customFormat="1" customHeight="1" ht="11.25">
      <c r="A6" s="2635"/>
      <c r="B6" s="775" t="s">
        <v>1752</v>
      </c>
      <c r="C6" s="762"/>
      <c r="D6" s="773"/>
      <c r="E6" s="845"/>
    </row>
    <row customHeight="1" ht="11.25">
      <c r="A7" s="2636"/>
      <c r="B7" s="775" t="s">
        <v>1760</v>
      </c>
      <c r="C7" s="762"/>
      <c r="D7" s="773"/>
      <c r="E7" s="845"/>
    </row>
    <row customHeight="1" ht="11.25">
      <c r="A8" s="765"/>
      <c r="B8" s="775" t="s">
        <v>1755</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1B0AB-B1DF-4D4C-1105-0.6D86CD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05FB1-1D74-C33F-A643-0.99A18B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64F45-224B-5BFF-EF6D-0.167FA433}"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2326</v>
      </c>
      <c r="B1" s="77" t="s">
        <v>2327</v>
      </c>
      <c r="C1" s="77" t="s">
        <v>2328</v>
      </c>
      <c r="D1" s="77" t="s">
        <v>2329</v>
      </c>
      <c r="E1" s="77" t="s">
        <v>2330</v>
      </c>
      <c r="F1" s="77" t="s">
        <v>2331</v>
      </c>
      <c r="G1" s="77" t="s">
        <v>2332</v>
      </c>
      <c r="H1" s="77" t="s">
        <v>2333</v>
      </c>
      <c r="I1" s="77" t="s">
        <v>2334</v>
      </c>
    </row>
    <row customHeight="1" ht="11.25">
      <c r="A2" s="1859" t="s">
        <v>2335</v>
      </c>
      <c r="B2" s="1859" t="s">
        <v>16</v>
      </c>
      <c r="C2" s="1859" t="s">
        <v>2336</v>
      </c>
      <c r="D2" s="1859" t="s">
        <v>2337</v>
      </c>
      <c r="E2" s="1859" t="s">
        <v>2338</v>
      </c>
      <c r="F2" s="1859" t="s">
        <v>2339</v>
      </c>
      <c r="G2" s="1859" t="s">
        <v>2340</v>
      </c>
      <c r="H2" s="1859" t="s">
        <v>22</v>
      </c>
      <c r="I2" s="1859" t="s">
        <v>910</v>
      </c>
    </row>
    <row customHeight="1" ht="11.25">
      <c r="A3" s="1859" t="s">
        <v>2335</v>
      </c>
      <c r="B3" s="1859" t="s">
        <v>16</v>
      </c>
      <c r="C3" s="1859" t="s">
        <v>2341</v>
      </c>
      <c r="D3" s="1859" t="s">
        <v>2342</v>
      </c>
      <c r="E3" s="1859" t="s">
        <v>2343</v>
      </c>
      <c r="F3" s="1859" t="s">
        <v>2344</v>
      </c>
      <c r="G3" s="1859" t="s">
        <v>2345</v>
      </c>
      <c r="H3" s="1859" t="s">
        <v>22</v>
      </c>
      <c r="I3" s="1859" t="s">
        <v>910</v>
      </c>
    </row>
    <row customHeight="1" ht="11.25">
      <c r="A4" s="1859" t="s">
        <v>2335</v>
      </c>
      <c r="B4" s="1859" t="s">
        <v>16</v>
      </c>
      <c r="C4" s="1859" t="s">
        <v>2346</v>
      </c>
      <c r="D4" s="1859" t="s">
        <v>2347</v>
      </c>
      <c r="E4" s="1859" t="s">
        <v>2348</v>
      </c>
      <c r="F4" s="1859" t="s">
        <v>2349</v>
      </c>
      <c r="G4" s="1859" t="s">
        <v>22</v>
      </c>
      <c r="H4" s="1859" t="s">
        <v>22</v>
      </c>
      <c r="I4" s="1859" t="s">
        <v>910</v>
      </c>
    </row>
    <row customHeight="1" ht="11.25">
      <c r="A5" s="1859" t="s">
        <v>2335</v>
      </c>
      <c r="B5" s="1859" t="s">
        <v>16</v>
      </c>
      <c r="C5" s="1859" t="s">
        <v>2350</v>
      </c>
      <c r="D5" s="1859" t="s">
        <v>2351</v>
      </c>
      <c r="E5" s="1859" t="s">
        <v>2352</v>
      </c>
      <c r="F5" s="1859" t="s">
        <v>2349</v>
      </c>
      <c r="G5" s="1859" t="s">
        <v>22</v>
      </c>
      <c r="H5" s="1859" t="s">
        <v>22</v>
      </c>
      <c r="I5" s="1859" t="s">
        <v>910</v>
      </c>
    </row>
    <row customHeight="1" ht="11.25">
      <c r="A6" s="1859" t="s">
        <v>2335</v>
      </c>
      <c r="B6" s="1859" t="s">
        <v>16</v>
      </c>
      <c r="C6" s="1859" t="s">
        <v>2353</v>
      </c>
      <c r="D6" s="1859" t="s">
        <v>2354</v>
      </c>
      <c r="E6" s="1859" t="s">
        <v>2355</v>
      </c>
      <c r="F6" s="1859" t="s">
        <v>2356</v>
      </c>
      <c r="G6" s="1859" t="s">
        <v>22</v>
      </c>
      <c r="H6" s="1859" t="s">
        <v>22</v>
      </c>
      <c r="I6" s="1859" t="s">
        <v>910</v>
      </c>
    </row>
    <row customHeight="1" ht="11.25">
      <c r="A7" s="1859" t="s">
        <v>2335</v>
      </c>
      <c r="B7" s="1859" t="s">
        <v>16</v>
      </c>
      <c r="C7" s="1859" t="s">
        <v>2357</v>
      </c>
      <c r="D7" s="1859" t="s">
        <v>2358</v>
      </c>
      <c r="E7" s="1859" t="s">
        <v>2359</v>
      </c>
      <c r="F7" s="1859" t="s">
        <v>2344</v>
      </c>
      <c r="G7" s="1859" t="s">
        <v>2360</v>
      </c>
      <c r="H7" s="1859" t="s">
        <v>22</v>
      </c>
      <c r="I7" s="1859" t="s">
        <v>910</v>
      </c>
    </row>
    <row customHeight="1" ht="11.25">
      <c r="A8" s="1859" t="s">
        <v>2335</v>
      </c>
      <c r="B8" s="1859" t="s">
        <v>16</v>
      </c>
      <c r="C8" s="1859" t="s">
        <v>2361</v>
      </c>
      <c r="D8" s="1859" t="s">
        <v>2362</v>
      </c>
      <c r="E8" s="1859" t="s">
        <v>2363</v>
      </c>
      <c r="F8" s="1859" t="s">
        <v>2364</v>
      </c>
      <c r="G8" s="1859" t="s">
        <v>22</v>
      </c>
      <c r="H8" s="1859" t="s">
        <v>22</v>
      </c>
      <c r="I8" s="1859" t="s">
        <v>910</v>
      </c>
    </row>
    <row customHeight="1" ht="11.25">
      <c r="A9" s="1859" t="s">
        <v>2335</v>
      </c>
      <c r="B9" s="1859" t="s">
        <v>16</v>
      </c>
      <c r="C9" s="1859" t="s">
        <v>2365</v>
      </c>
      <c r="D9" s="1859" t="s">
        <v>2366</v>
      </c>
      <c r="E9" s="1859" t="s">
        <v>2367</v>
      </c>
      <c r="F9" s="1859" t="s">
        <v>2368</v>
      </c>
      <c r="G9" s="1859" t="s">
        <v>22</v>
      </c>
      <c r="H9" s="1859" t="s">
        <v>22</v>
      </c>
      <c r="I9" s="1859" t="s">
        <v>910</v>
      </c>
    </row>
    <row customHeight="1" ht="11.25">
      <c r="A10" s="1859" t="s">
        <v>2335</v>
      </c>
      <c r="B10" s="1859" t="s">
        <v>16</v>
      </c>
      <c r="C10" s="1859" t="s">
        <v>2369</v>
      </c>
      <c r="D10" s="1859" t="s">
        <v>2370</v>
      </c>
      <c r="E10" s="1859" t="s">
        <v>2371</v>
      </c>
      <c r="F10" s="1859" t="s">
        <v>2372</v>
      </c>
      <c r="G10" s="1859" t="s">
        <v>22</v>
      </c>
      <c r="H10" s="1859" t="s">
        <v>22</v>
      </c>
      <c r="I10" s="1859" t="s">
        <v>910</v>
      </c>
    </row>
    <row customHeight="1" ht="11.25">
      <c r="A11" s="1859" t="s">
        <v>2335</v>
      </c>
      <c r="B11" s="1859" t="s">
        <v>16</v>
      </c>
      <c r="C11" s="1859" t="s">
        <v>2373</v>
      </c>
      <c r="D11" s="1859" t="s">
        <v>2374</v>
      </c>
      <c r="E11" s="1859" t="s">
        <v>2375</v>
      </c>
      <c r="F11" s="1859" t="s">
        <v>2376</v>
      </c>
      <c r="G11" s="1859" t="s">
        <v>22</v>
      </c>
      <c r="H11" s="1859" t="s">
        <v>22</v>
      </c>
      <c r="I11" s="1859" t="s">
        <v>910</v>
      </c>
    </row>
    <row customHeight="1" ht="11.25">
      <c r="A12" s="1859" t="s">
        <v>2335</v>
      </c>
      <c r="B12" s="1859" t="s">
        <v>16</v>
      </c>
      <c r="C12" s="1859" t="s">
        <v>2377</v>
      </c>
      <c r="D12" s="1859" t="s">
        <v>2378</v>
      </c>
      <c r="E12" s="1859" t="s">
        <v>2379</v>
      </c>
      <c r="F12" s="1859" t="s">
        <v>2380</v>
      </c>
      <c r="G12" s="1859" t="s">
        <v>22</v>
      </c>
      <c r="H12" s="1859" t="s">
        <v>22</v>
      </c>
      <c r="I12" s="1859" t="s">
        <v>910</v>
      </c>
    </row>
    <row customHeight="1" ht="11.25">
      <c r="A13" s="1859" t="s">
        <v>2335</v>
      </c>
      <c r="B13" s="1859" t="s">
        <v>16</v>
      </c>
      <c r="C13" s="1859" t="s">
        <v>2381</v>
      </c>
      <c r="D13" s="1859" t="s">
        <v>2382</v>
      </c>
      <c r="E13" s="1859" t="s">
        <v>2383</v>
      </c>
      <c r="F13" s="1859" t="s">
        <v>2364</v>
      </c>
      <c r="G13" s="1859" t="s">
        <v>22</v>
      </c>
      <c r="H13" s="1859" t="s">
        <v>22</v>
      </c>
      <c r="I13" s="1859" t="s">
        <v>910</v>
      </c>
    </row>
    <row customHeight="1" ht="11.25">
      <c r="A14" s="1859" t="s">
        <v>2335</v>
      </c>
      <c r="B14" s="1859" t="s">
        <v>16</v>
      </c>
      <c r="C14" s="1859" t="s">
        <v>2384</v>
      </c>
      <c r="D14" s="1859" t="s">
        <v>2385</v>
      </c>
      <c r="E14" s="1859" t="s">
        <v>2386</v>
      </c>
      <c r="F14" s="1859" t="s">
        <v>2344</v>
      </c>
      <c r="G14" s="1859" t="s">
        <v>22</v>
      </c>
      <c r="H14" s="1859" t="s">
        <v>22</v>
      </c>
      <c r="I14" s="1859" t="s">
        <v>910</v>
      </c>
    </row>
    <row customHeight="1" ht="11.25">
      <c r="A15" s="1859" t="s">
        <v>2335</v>
      </c>
      <c r="B15" s="1859" t="s">
        <v>16</v>
      </c>
      <c r="C15" s="1859" t="s">
        <v>2387</v>
      </c>
      <c r="D15" s="1859" t="s">
        <v>2388</v>
      </c>
      <c r="E15" s="1859" t="s">
        <v>2389</v>
      </c>
      <c r="F15" s="1859" t="s">
        <v>2390</v>
      </c>
      <c r="G15" s="1859" t="s">
        <v>2391</v>
      </c>
      <c r="H15" s="1859" t="s">
        <v>22</v>
      </c>
      <c r="I15" s="1859" t="s">
        <v>910</v>
      </c>
    </row>
    <row customHeight="1" ht="11.25">
      <c r="A16" s="1859" t="s">
        <v>2335</v>
      </c>
      <c r="B16" s="1859" t="s">
        <v>16</v>
      </c>
      <c r="C16" s="1859" t="s">
        <v>2392</v>
      </c>
      <c r="D16" s="1859" t="s">
        <v>2393</v>
      </c>
      <c r="E16" s="1859" t="s">
        <v>2394</v>
      </c>
      <c r="F16" s="1859" t="s">
        <v>2395</v>
      </c>
      <c r="G16" s="1859" t="s">
        <v>22</v>
      </c>
      <c r="H16" s="1859" t="s">
        <v>22</v>
      </c>
      <c r="I16" s="1859" t="s">
        <v>910</v>
      </c>
    </row>
    <row customHeight="1" ht="11.25">
      <c r="A17" s="1859" t="s">
        <v>2335</v>
      </c>
      <c r="B17" s="1859" t="s">
        <v>16</v>
      </c>
      <c r="C17" s="1859" t="s">
        <v>2396</v>
      </c>
      <c r="D17" s="1859" t="s">
        <v>2397</v>
      </c>
      <c r="E17" s="1859" t="s">
        <v>2389</v>
      </c>
      <c r="F17" s="1859" t="s">
        <v>2398</v>
      </c>
      <c r="G17" s="1859" t="s">
        <v>22</v>
      </c>
      <c r="H17" s="1859" t="s">
        <v>22</v>
      </c>
      <c r="I17" s="1859" t="s">
        <v>910</v>
      </c>
    </row>
    <row customHeight="1" ht="11.25">
      <c r="A18" s="1859" t="s">
        <v>2335</v>
      </c>
      <c r="B18" s="1859" t="s">
        <v>16</v>
      </c>
      <c r="C18" s="1859" t="s">
        <v>2399</v>
      </c>
      <c r="D18" s="1859" t="s">
        <v>2400</v>
      </c>
      <c r="E18" s="1859" t="s">
        <v>2401</v>
      </c>
      <c r="F18" s="1859" t="s">
        <v>2402</v>
      </c>
      <c r="G18" s="1859" t="s">
        <v>22</v>
      </c>
      <c r="H18" s="1859" t="s">
        <v>22</v>
      </c>
      <c r="I18" s="1859" t="s">
        <v>910</v>
      </c>
    </row>
    <row customHeight="1" ht="11.25">
      <c r="A19" s="1859" t="s">
        <v>2335</v>
      </c>
      <c r="B19" s="1859" t="s">
        <v>16</v>
      </c>
      <c r="C19" s="1859" t="s">
        <v>2403</v>
      </c>
      <c r="D19" s="1859" t="s">
        <v>2404</v>
      </c>
      <c r="E19" s="1859" t="s">
        <v>2405</v>
      </c>
      <c r="F19" s="1859" t="s">
        <v>2406</v>
      </c>
      <c r="G19" s="1859" t="s">
        <v>22</v>
      </c>
      <c r="H19" s="1859" t="s">
        <v>22</v>
      </c>
      <c r="I19" s="1859" t="s">
        <v>910</v>
      </c>
    </row>
    <row customHeight="1" ht="11.25">
      <c r="A20" s="1859" t="s">
        <v>2335</v>
      </c>
      <c r="B20" s="1859" t="s">
        <v>16</v>
      </c>
      <c r="C20" s="1859" t="s">
        <v>2407</v>
      </c>
      <c r="D20" s="1859" t="s">
        <v>2408</v>
      </c>
      <c r="E20" s="1859" t="s">
        <v>2409</v>
      </c>
      <c r="F20" s="1859" t="s">
        <v>2410</v>
      </c>
      <c r="G20" s="1859" t="s">
        <v>22</v>
      </c>
      <c r="H20" s="1859" t="s">
        <v>22</v>
      </c>
      <c r="I20" s="1859" t="s">
        <v>910</v>
      </c>
    </row>
    <row customHeight="1" ht="11.25">
      <c r="A21" s="1859" t="s">
        <v>2335</v>
      </c>
      <c r="B21" s="1859" t="s">
        <v>16</v>
      </c>
      <c r="C21" s="1859" t="s">
        <v>2411</v>
      </c>
      <c r="D21" s="1859" t="s">
        <v>2412</v>
      </c>
      <c r="E21" s="1859" t="s">
        <v>2413</v>
      </c>
      <c r="F21" s="1859" t="s">
        <v>2414</v>
      </c>
      <c r="G21" s="1859" t="s">
        <v>22</v>
      </c>
      <c r="H21" s="1859" t="s">
        <v>22</v>
      </c>
      <c r="I21" s="1859" t="s">
        <v>910</v>
      </c>
    </row>
    <row customHeight="1" ht="11.25">
      <c r="A22" s="1859" t="s">
        <v>2335</v>
      </c>
      <c r="B22" s="1859" t="s">
        <v>16</v>
      </c>
      <c r="C22" s="1859" t="s">
        <v>2415</v>
      </c>
      <c r="D22" s="1859" t="s">
        <v>2416</v>
      </c>
      <c r="E22" s="1859" t="s">
        <v>2417</v>
      </c>
      <c r="F22" s="1859" t="s">
        <v>2418</v>
      </c>
      <c r="G22" s="1859" t="s">
        <v>2360</v>
      </c>
      <c r="H22" s="1859" t="s">
        <v>22</v>
      </c>
      <c r="I22" s="1859" t="s">
        <v>910</v>
      </c>
    </row>
    <row customHeight="1" ht="11.25">
      <c r="A23" s="1859" t="s">
        <v>2335</v>
      </c>
      <c r="B23" s="1859" t="s">
        <v>16</v>
      </c>
      <c r="C23" s="1859" t="s">
        <v>2419</v>
      </c>
      <c r="D23" s="1859" t="s">
        <v>2420</v>
      </c>
      <c r="E23" s="1859" t="s">
        <v>2421</v>
      </c>
      <c r="F23" s="1859" t="s">
        <v>2395</v>
      </c>
      <c r="G23" s="1859" t="s">
        <v>22</v>
      </c>
      <c r="H23" s="1859" t="s">
        <v>22</v>
      </c>
      <c r="I23" s="1859" t="s">
        <v>910</v>
      </c>
    </row>
    <row customHeight="1" ht="11.25">
      <c r="A24" s="1859" t="s">
        <v>2335</v>
      </c>
      <c r="B24" s="1859" t="s">
        <v>16</v>
      </c>
      <c r="C24" s="1859" t="s">
        <v>2422</v>
      </c>
      <c r="D24" s="1859" t="s">
        <v>2423</v>
      </c>
      <c r="E24" s="1859" t="s">
        <v>2424</v>
      </c>
      <c r="F24" s="1859" t="s">
        <v>2425</v>
      </c>
      <c r="G24" s="1859" t="s">
        <v>22</v>
      </c>
      <c r="H24" s="1859" t="s">
        <v>22</v>
      </c>
      <c r="I24" s="1859" t="s">
        <v>910</v>
      </c>
    </row>
    <row customHeight="1" ht="11.25">
      <c r="A25" s="1859" t="s">
        <v>2335</v>
      </c>
      <c r="B25" s="1859" t="s">
        <v>16</v>
      </c>
      <c r="C25" s="1859" t="s">
        <v>2426</v>
      </c>
      <c r="D25" s="1859" t="s">
        <v>2427</v>
      </c>
      <c r="E25" s="1859" t="s">
        <v>2428</v>
      </c>
      <c r="F25" s="1859" t="s">
        <v>2429</v>
      </c>
      <c r="G25" s="1859" t="s">
        <v>22</v>
      </c>
      <c r="H25" s="1859" t="s">
        <v>22</v>
      </c>
      <c r="I25" s="1859" t="s">
        <v>910</v>
      </c>
    </row>
    <row customHeight="1" ht="11.25">
      <c r="A26" s="1859" t="s">
        <v>2335</v>
      </c>
      <c r="B26" s="1859" t="s">
        <v>16</v>
      </c>
      <c r="C26" s="1859" t="s">
        <v>2430</v>
      </c>
      <c r="D26" s="1859" t="s">
        <v>2431</v>
      </c>
      <c r="E26" s="1859" t="s">
        <v>2432</v>
      </c>
      <c r="F26" s="1859" t="s">
        <v>2368</v>
      </c>
      <c r="G26" s="1859" t="s">
        <v>22</v>
      </c>
      <c r="H26" s="1859" t="s">
        <v>22</v>
      </c>
      <c r="I26" s="1859" t="s">
        <v>910</v>
      </c>
    </row>
    <row customHeight="1" ht="11.25">
      <c r="A27" s="1859" t="s">
        <v>2335</v>
      </c>
      <c r="B27" s="1859" t="s">
        <v>16</v>
      </c>
      <c r="C27" s="1859" t="s">
        <v>2433</v>
      </c>
      <c r="D27" s="1859" t="s">
        <v>2434</v>
      </c>
      <c r="E27" s="1859" t="s">
        <v>2435</v>
      </c>
      <c r="F27" s="1859" t="s">
        <v>2436</v>
      </c>
      <c r="G27" s="1859" t="s">
        <v>22</v>
      </c>
      <c r="H27" s="1859" t="s">
        <v>22</v>
      </c>
      <c r="I27" s="1859" t="s">
        <v>910</v>
      </c>
    </row>
    <row customHeight="1" ht="11.25">
      <c r="A28" s="1859" t="s">
        <v>2335</v>
      </c>
      <c r="B28" s="1859" t="s">
        <v>16</v>
      </c>
      <c r="C28" s="1859" t="s">
        <v>2437</v>
      </c>
      <c r="D28" s="1859" t="s">
        <v>2438</v>
      </c>
      <c r="E28" s="1859" t="s">
        <v>2435</v>
      </c>
      <c r="F28" s="1859" t="s">
        <v>2439</v>
      </c>
      <c r="G28" s="1859" t="s">
        <v>22</v>
      </c>
      <c r="H28" s="1859" t="s">
        <v>22</v>
      </c>
      <c r="I28" s="1859" t="s">
        <v>910</v>
      </c>
    </row>
    <row customHeight="1" ht="11.25">
      <c r="A29" s="1859" t="s">
        <v>2335</v>
      </c>
      <c r="B29" s="1859" t="s">
        <v>16</v>
      </c>
      <c r="C29" s="1859" t="s">
        <v>2440</v>
      </c>
      <c r="D29" s="1859" t="s">
        <v>2441</v>
      </c>
      <c r="E29" s="1859" t="s">
        <v>2442</v>
      </c>
      <c r="F29" s="1859" t="s">
        <v>2429</v>
      </c>
      <c r="G29" s="1859" t="s">
        <v>22</v>
      </c>
      <c r="H29" s="1859" t="s">
        <v>22</v>
      </c>
      <c r="I29" s="1859" t="s">
        <v>910</v>
      </c>
    </row>
    <row customHeight="1" ht="11.25">
      <c r="A30" s="1859" t="s">
        <v>2335</v>
      </c>
      <c r="B30" s="1859" t="s">
        <v>16</v>
      </c>
      <c r="C30" s="1859" t="s">
        <v>2443</v>
      </c>
      <c r="D30" s="1859" t="s">
        <v>2444</v>
      </c>
      <c r="E30" s="1859" t="s">
        <v>2445</v>
      </c>
      <c r="F30" s="1859" t="s">
        <v>2372</v>
      </c>
      <c r="G30" s="1859" t="s">
        <v>22</v>
      </c>
      <c r="H30" s="1859" t="s">
        <v>22</v>
      </c>
      <c r="I30" s="1859" t="s">
        <v>910</v>
      </c>
    </row>
    <row customHeight="1" ht="11.25">
      <c r="A31" s="1859" t="s">
        <v>2335</v>
      </c>
      <c r="B31" s="1859" t="s">
        <v>16</v>
      </c>
      <c r="C31" s="1859" t="s">
        <v>2446</v>
      </c>
      <c r="D31" s="1859" t="s">
        <v>2447</v>
      </c>
      <c r="E31" s="1859" t="s">
        <v>2448</v>
      </c>
      <c r="F31" s="1859" t="s">
        <v>2364</v>
      </c>
      <c r="G31" s="1859" t="s">
        <v>22</v>
      </c>
      <c r="H31" s="1859" t="s">
        <v>22</v>
      </c>
      <c r="I31" s="1859" t="s">
        <v>910</v>
      </c>
    </row>
    <row customHeight="1" ht="11.25">
      <c r="A32" s="1859" t="s">
        <v>2335</v>
      </c>
      <c r="B32" s="1859" t="s">
        <v>16</v>
      </c>
      <c r="C32" s="1859" t="s">
        <v>2449</v>
      </c>
      <c r="D32" s="1859" t="s">
        <v>2450</v>
      </c>
      <c r="E32" s="1859" t="s">
        <v>2451</v>
      </c>
      <c r="F32" s="1859" t="s">
        <v>2406</v>
      </c>
      <c r="G32" s="1859" t="s">
        <v>22</v>
      </c>
      <c r="H32" s="1859" t="s">
        <v>22</v>
      </c>
      <c r="I32" s="1859" t="s">
        <v>910</v>
      </c>
    </row>
    <row customHeight="1" ht="11.25">
      <c r="A33" s="1859" t="s">
        <v>2335</v>
      </c>
      <c r="B33" s="1859" t="s">
        <v>16</v>
      </c>
      <c r="C33" s="1859" t="s">
        <v>2452</v>
      </c>
      <c r="D33" s="1859" t="s">
        <v>2453</v>
      </c>
      <c r="E33" s="1859" t="s">
        <v>2454</v>
      </c>
      <c r="F33" s="1859" t="s">
        <v>2455</v>
      </c>
      <c r="G33" s="1859" t="s">
        <v>22</v>
      </c>
      <c r="H33" s="1859" t="s">
        <v>22</v>
      </c>
      <c r="I33" s="1859" t="s">
        <v>910</v>
      </c>
    </row>
    <row customHeight="1" ht="11.25">
      <c r="A34" s="1859" t="s">
        <v>2335</v>
      </c>
      <c r="B34" s="1859" t="s">
        <v>16</v>
      </c>
      <c r="C34" s="1859" t="s">
        <v>22</v>
      </c>
      <c r="D34" s="1859" t="s">
        <v>2456</v>
      </c>
      <c r="E34" s="1859" t="s">
        <v>2457</v>
      </c>
      <c r="F34" s="1859" t="s">
        <v>2349</v>
      </c>
      <c r="G34" s="1859" t="s">
        <v>22</v>
      </c>
      <c r="H34" s="1859" t="s">
        <v>22</v>
      </c>
      <c r="I34" s="1859" t="s">
        <v>910</v>
      </c>
    </row>
    <row customHeight="1" ht="11.25">
      <c r="A35" s="1859" t="s">
        <v>2335</v>
      </c>
      <c r="B35" s="1859" t="s">
        <v>16</v>
      </c>
      <c r="C35" s="1859" t="s">
        <v>2458</v>
      </c>
      <c r="D35" s="1859" t="s">
        <v>2459</v>
      </c>
      <c r="E35" s="1859" t="s">
        <v>2460</v>
      </c>
      <c r="F35" s="1859" t="s">
        <v>2461</v>
      </c>
      <c r="G35" s="1859" t="s">
        <v>22</v>
      </c>
      <c r="H35" s="1859" t="s">
        <v>22</v>
      </c>
      <c r="I35" s="1859" t="s">
        <v>910</v>
      </c>
    </row>
    <row customHeight="1" ht="11.25">
      <c r="A36" s="1859" t="s">
        <v>2335</v>
      </c>
      <c r="B36" s="1859" t="s">
        <v>16</v>
      </c>
      <c r="C36" s="1859" t="s">
        <v>2462</v>
      </c>
      <c r="D36" s="1859" t="s">
        <v>2463</v>
      </c>
      <c r="E36" s="1859" t="s">
        <v>2464</v>
      </c>
      <c r="F36" s="1859" t="s">
        <v>2465</v>
      </c>
      <c r="G36" s="1859" t="s">
        <v>22</v>
      </c>
      <c r="H36" s="1859" t="s">
        <v>22</v>
      </c>
      <c r="I36" s="1859" t="s">
        <v>910</v>
      </c>
    </row>
    <row customHeight="1" ht="11.25">
      <c r="A37" s="1859" t="s">
        <v>2335</v>
      </c>
      <c r="B37" s="1859" t="s">
        <v>16</v>
      </c>
      <c r="C37" s="1859" t="s">
        <v>2466</v>
      </c>
      <c r="D37" s="1859" t="s">
        <v>2467</v>
      </c>
      <c r="E37" s="1859" t="s">
        <v>2468</v>
      </c>
      <c r="F37" s="1859" t="s">
        <v>2469</v>
      </c>
      <c r="G37" s="1859" t="s">
        <v>22</v>
      </c>
      <c r="H37" s="1859" t="s">
        <v>22</v>
      </c>
      <c r="I37" s="1859" t="s">
        <v>910</v>
      </c>
    </row>
    <row customHeight="1" ht="11.25">
      <c r="A38" s="1859" t="s">
        <v>2335</v>
      </c>
      <c r="B38" s="1859" t="s">
        <v>16</v>
      </c>
      <c r="C38" s="1859" t="s">
        <v>2470</v>
      </c>
      <c r="D38" s="1859" t="s">
        <v>2471</v>
      </c>
      <c r="E38" s="1859" t="s">
        <v>2472</v>
      </c>
      <c r="F38" s="1859" t="s">
        <v>2473</v>
      </c>
      <c r="G38" s="1859" t="s">
        <v>2474</v>
      </c>
      <c r="H38" s="1859" t="s">
        <v>22</v>
      </c>
      <c r="I38" s="1859" t="s">
        <v>910</v>
      </c>
    </row>
    <row customHeight="1" ht="11.25">
      <c r="A39" s="1859" t="s">
        <v>2335</v>
      </c>
      <c r="B39" s="1859" t="s">
        <v>16</v>
      </c>
      <c r="C39" s="1859" t="s">
        <v>2475</v>
      </c>
      <c r="D39" s="1859" t="s">
        <v>2476</v>
      </c>
      <c r="E39" s="1859" t="s">
        <v>2477</v>
      </c>
      <c r="F39" s="1859" t="s">
        <v>2406</v>
      </c>
      <c r="G39" s="1859" t="s">
        <v>22</v>
      </c>
      <c r="H39" s="1859" t="s">
        <v>22</v>
      </c>
      <c r="I39" s="1859" t="s">
        <v>910</v>
      </c>
    </row>
    <row customHeight="1" ht="11.25">
      <c r="A40" s="1859" t="s">
        <v>2335</v>
      </c>
      <c r="B40" s="1859" t="s">
        <v>16</v>
      </c>
      <c r="C40" s="1859" t="s">
        <v>2478</v>
      </c>
      <c r="D40" s="1859" t="s">
        <v>2479</v>
      </c>
      <c r="E40" s="1859" t="s">
        <v>2480</v>
      </c>
      <c r="F40" s="1859" t="s">
        <v>2481</v>
      </c>
      <c r="G40" s="1859" t="s">
        <v>22</v>
      </c>
      <c r="H40" s="1859" t="s">
        <v>22</v>
      </c>
      <c r="I40" s="1859" t="s">
        <v>910</v>
      </c>
    </row>
    <row customHeight="1" ht="11.25">
      <c r="A41" s="1859" t="s">
        <v>2335</v>
      </c>
      <c r="B41" s="1859" t="s">
        <v>16</v>
      </c>
      <c r="C41" s="1859" t="s">
        <v>2482</v>
      </c>
      <c r="D41" s="1859" t="s">
        <v>2483</v>
      </c>
      <c r="E41" s="1859" t="s">
        <v>2484</v>
      </c>
      <c r="F41" s="1859" t="s">
        <v>2402</v>
      </c>
      <c r="G41" s="1859" t="s">
        <v>22</v>
      </c>
      <c r="H41" s="1859" t="s">
        <v>22</v>
      </c>
      <c r="I41" s="1859" t="s">
        <v>910</v>
      </c>
    </row>
    <row customHeight="1" ht="11.25">
      <c r="A42" s="1859" t="s">
        <v>2335</v>
      </c>
      <c r="B42" s="1859" t="s">
        <v>16</v>
      </c>
      <c r="C42" s="1859" t="s">
        <v>2485</v>
      </c>
      <c r="D42" s="1859" t="s">
        <v>2486</v>
      </c>
      <c r="E42" s="1859" t="s">
        <v>2487</v>
      </c>
      <c r="F42" s="1859" t="s">
        <v>648</v>
      </c>
      <c r="G42" s="1859" t="s">
        <v>22</v>
      </c>
      <c r="H42" s="1859" t="s">
        <v>22</v>
      </c>
      <c r="I42" s="1859" t="s">
        <v>910</v>
      </c>
    </row>
    <row customHeight="1" ht="11.25">
      <c r="A43" s="1859" t="s">
        <v>2335</v>
      </c>
      <c r="B43" s="1859" t="s">
        <v>16</v>
      </c>
      <c r="C43" s="1859" t="s">
        <v>2488</v>
      </c>
      <c r="D43" s="1859" t="s">
        <v>2489</v>
      </c>
      <c r="E43" s="1859" t="s">
        <v>2490</v>
      </c>
      <c r="F43" s="1859" t="s">
        <v>648</v>
      </c>
      <c r="G43" s="1859" t="s">
        <v>22</v>
      </c>
      <c r="H43" s="1859" t="s">
        <v>22</v>
      </c>
      <c r="I43" s="1859" t="s">
        <v>910</v>
      </c>
    </row>
    <row customHeight="1" ht="11.25">
      <c r="A44" s="1859" t="s">
        <v>2335</v>
      </c>
      <c r="B44" s="1859" t="s">
        <v>16</v>
      </c>
      <c r="C44" s="1859" t="s">
        <v>2491</v>
      </c>
      <c r="D44" s="1859" t="s">
        <v>2492</v>
      </c>
      <c r="E44" s="1859" t="s">
        <v>2493</v>
      </c>
      <c r="F44" s="1859" t="s">
        <v>648</v>
      </c>
      <c r="G44" s="1859" t="s">
        <v>2494</v>
      </c>
      <c r="H44" s="1859" t="s">
        <v>22</v>
      </c>
      <c r="I44" s="1859" t="s">
        <v>910</v>
      </c>
    </row>
    <row customHeight="1" ht="11.25">
      <c r="A45" s="1859" t="s">
        <v>2335</v>
      </c>
      <c r="B45" s="1859" t="s">
        <v>16</v>
      </c>
      <c r="C45" s="1859" t="s">
        <v>2495</v>
      </c>
      <c r="D45" s="1859" t="s">
        <v>2496</v>
      </c>
      <c r="E45" s="1859" t="s">
        <v>2497</v>
      </c>
      <c r="F45" s="1859" t="s">
        <v>648</v>
      </c>
      <c r="G45" s="1859" t="s">
        <v>22</v>
      </c>
      <c r="H45" s="1859" t="s">
        <v>22</v>
      </c>
      <c r="I45" s="1859" t="s">
        <v>910</v>
      </c>
    </row>
    <row customHeight="1" ht="11.25">
      <c r="A46" s="1859" t="s">
        <v>2335</v>
      </c>
      <c r="B46" s="1859" t="s">
        <v>16</v>
      </c>
      <c r="C46" s="1859" t="s">
        <v>2498</v>
      </c>
      <c r="D46" s="1859" t="s">
        <v>2499</v>
      </c>
      <c r="E46" s="1859" t="s">
        <v>2500</v>
      </c>
      <c r="F46" s="1859" t="s">
        <v>2501</v>
      </c>
      <c r="G46" s="1859" t="s">
        <v>2502</v>
      </c>
      <c r="H46" s="1859" t="s">
        <v>22</v>
      </c>
      <c r="I46" s="1859" t="s">
        <v>910</v>
      </c>
    </row>
    <row customHeight="1" ht="11.25">
      <c r="A47" s="1859" t="s">
        <v>2335</v>
      </c>
      <c r="B47" s="1859" t="s">
        <v>16</v>
      </c>
      <c r="C47" s="1859" t="s">
        <v>2503</v>
      </c>
      <c r="D47" s="1859" t="s">
        <v>2504</v>
      </c>
      <c r="E47" s="1859" t="s">
        <v>2505</v>
      </c>
      <c r="F47" s="1859" t="s">
        <v>2506</v>
      </c>
      <c r="G47" s="1859" t="s">
        <v>22</v>
      </c>
      <c r="H47" s="1859" t="s">
        <v>22</v>
      </c>
      <c r="I47" s="1859" t="s">
        <v>910</v>
      </c>
    </row>
    <row customHeight="1" ht="11.25">
      <c r="A48" s="1859" t="s">
        <v>2335</v>
      </c>
      <c r="B48" s="1859" t="s">
        <v>16</v>
      </c>
      <c r="C48" s="1859" t="s">
        <v>2507</v>
      </c>
      <c r="D48" s="1859" t="s">
        <v>2508</v>
      </c>
      <c r="E48" s="1859" t="s">
        <v>2460</v>
      </c>
      <c r="F48" s="1859" t="s">
        <v>2509</v>
      </c>
      <c r="G48" s="1859" t="s">
        <v>22</v>
      </c>
      <c r="H48" s="1859" t="s">
        <v>22</v>
      </c>
      <c r="I48" s="1859" t="s">
        <v>910</v>
      </c>
    </row>
    <row customHeight="1" ht="11.25">
      <c r="A49" s="1859" t="s">
        <v>2335</v>
      </c>
      <c r="B49" s="1859" t="s">
        <v>16</v>
      </c>
      <c r="C49" s="1859" t="s">
        <v>2510</v>
      </c>
      <c r="D49" s="1859" t="s">
        <v>2511</v>
      </c>
      <c r="E49" s="1859" t="s">
        <v>2512</v>
      </c>
      <c r="F49" s="1859" t="s">
        <v>2513</v>
      </c>
      <c r="G49" s="1859" t="s">
        <v>2514</v>
      </c>
      <c r="H49" s="1859" t="s">
        <v>22</v>
      </c>
      <c r="I49" s="1859" t="s">
        <v>910</v>
      </c>
    </row>
    <row customHeight="1" ht="11.25">
      <c r="A50" s="1859" t="s">
        <v>2335</v>
      </c>
      <c r="B50" s="1859" t="s">
        <v>16</v>
      </c>
      <c r="C50" s="1859" t="s">
        <v>2515</v>
      </c>
      <c r="D50" s="1859" t="s">
        <v>2516</v>
      </c>
      <c r="E50" s="1859" t="s">
        <v>2517</v>
      </c>
      <c r="F50" s="1859" t="s">
        <v>2518</v>
      </c>
      <c r="G50" s="1859" t="s">
        <v>22</v>
      </c>
      <c r="H50" s="1859" t="s">
        <v>22</v>
      </c>
      <c r="I50" s="1859" t="s">
        <v>910</v>
      </c>
    </row>
    <row customHeight="1" ht="11.25">
      <c r="A51" s="1859" t="s">
        <v>2335</v>
      </c>
      <c r="B51" s="1859" t="s">
        <v>16</v>
      </c>
      <c r="C51" s="1859" t="s">
        <v>2519</v>
      </c>
      <c r="D51" s="1859" t="s">
        <v>2520</v>
      </c>
      <c r="E51" s="1859" t="s">
        <v>2521</v>
      </c>
      <c r="F51" s="1859" t="s">
        <v>2469</v>
      </c>
      <c r="G51" s="1859" t="s">
        <v>22</v>
      </c>
      <c r="H51" s="1859" t="s">
        <v>22</v>
      </c>
      <c r="I51" s="1859" t="s">
        <v>910</v>
      </c>
    </row>
    <row customHeight="1" ht="11.25">
      <c r="A52" s="1859" t="s">
        <v>2335</v>
      </c>
      <c r="B52" s="1859" t="s">
        <v>16</v>
      </c>
      <c r="C52" s="1859" t="s">
        <v>2522</v>
      </c>
      <c r="D52" s="1859" t="s">
        <v>2523</v>
      </c>
      <c r="E52" s="1859" t="s">
        <v>2524</v>
      </c>
      <c r="F52" s="1859" t="s">
        <v>2518</v>
      </c>
      <c r="G52" s="1859" t="s">
        <v>2525</v>
      </c>
      <c r="H52" s="1859" t="s">
        <v>22</v>
      </c>
      <c r="I52" s="1859" t="s">
        <v>910</v>
      </c>
    </row>
    <row customHeight="1" ht="11.25">
      <c r="A53" s="1859" t="s">
        <v>2335</v>
      </c>
      <c r="B53" s="1859" t="s">
        <v>16</v>
      </c>
      <c r="C53" s="1859" t="s">
        <v>2526</v>
      </c>
      <c r="D53" s="1859" t="s">
        <v>2527</v>
      </c>
      <c r="E53" s="1859" t="s">
        <v>2528</v>
      </c>
      <c r="F53" s="1859" t="s">
        <v>2518</v>
      </c>
      <c r="G53" s="1859" t="s">
        <v>2529</v>
      </c>
      <c r="H53" s="1859" t="s">
        <v>22</v>
      </c>
      <c r="I53" s="1859" t="s">
        <v>910</v>
      </c>
    </row>
    <row customHeight="1" ht="11.25">
      <c r="A54" s="1859" t="s">
        <v>2335</v>
      </c>
      <c r="B54" s="1859" t="s">
        <v>16</v>
      </c>
      <c r="C54" s="1859" t="s">
        <v>2530</v>
      </c>
      <c r="D54" s="1859" t="s">
        <v>2531</v>
      </c>
      <c r="E54" s="1859" t="s">
        <v>2532</v>
      </c>
      <c r="F54" s="1859" t="s">
        <v>2469</v>
      </c>
      <c r="G54" s="1859" t="s">
        <v>22</v>
      </c>
      <c r="H54" s="1859" t="s">
        <v>22</v>
      </c>
      <c r="I54" s="1859" t="s">
        <v>910</v>
      </c>
    </row>
    <row customHeight="1" ht="11.25">
      <c r="A55" s="1859" t="s">
        <v>2335</v>
      </c>
      <c r="B55" s="1859" t="s">
        <v>16</v>
      </c>
      <c r="C55" s="1859" t="s">
        <v>2533</v>
      </c>
      <c r="D55" s="1859" t="s">
        <v>2534</v>
      </c>
      <c r="E55" s="1859" t="s">
        <v>2535</v>
      </c>
      <c r="F55" s="1859" t="s">
        <v>2518</v>
      </c>
      <c r="G55" s="1859" t="s">
        <v>22</v>
      </c>
      <c r="H55" s="1859" t="s">
        <v>22</v>
      </c>
      <c r="I55" s="1859" t="s">
        <v>910</v>
      </c>
    </row>
    <row customHeight="1" ht="11.25">
      <c r="A56" s="1859" t="s">
        <v>2335</v>
      </c>
      <c r="B56" s="1859" t="s">
        <v>16</v>
      </c>
      <c r="C56" s="1859" t="s">
        <v>2536</v>
      </c>
      <c r="D56" s="1859" t="s">
        <v>2537</v>
      </c>
      <c r="E56" s="1859" t="s">
        <v>2538</v>
      </c>
      <c r="F56" s="1859" t="s">
        <v>2539</v>
      </c>
      <c r="G56" s="1859" t="s">
        <v>22</v>
      </c>
      <c r="H56" s="1859" t="s">
        <v>22</v>
      </c>
      <c r="I56" s="1859" t="s">
        <v>910</v>
      </c>
    </row>
    <row customHeight="1" ht="11.25">
      <c r="A57" s="1859" t="s">
        <v>2335</v>
      </c>
      <c r="B57" s="1859" t="s">
        <v>16</v>
      </c>
      <c r="C57" s="1859" t="s">
        <v>2540</v>
      </c>
      <c r="D57" s="1859" t="s">
        <v>2541</v>
      </c>
      <c r="E57" s="1859" t="s">
        <v>2542</v>
      </c>
      <c r="F57" s="1859" t="s">
        <v>2543</v>
      </c>
      <c r="G57" s="1859" t="s">
        <v>22</v>
      </c>
      <c r="H57" s="1859" t="s">
        <v>22</v>
      </c>
      <c r="I57" s="1859" t="s">
        <v>910</v>
      </c>
    </row>
    <row customHeight="1" ht="11.25">
      <c r="A58" s="1859" t="s">
        <v>2335</v>
      </c>
      <c r="B58" s="1859" t="s">
        <v>16</v>
      </c>
      <c r="C58" s="1859" t="s">
        <v>2544</v>
      </c>
      <c r="D58" s="1859" t="s">
        <v>2545</v>
      </c>
      <c r="E58" s="1859" t="s">
        <v>2546</v>
      </c>
      <c r="F58" s="1859" t="s">
        <v>2349</v>
      </c>
      <c r="G58" s="1859" t="s">
        <v>22</v>
      </c>
      <c r="H58" s="1859" t="s">
        <v>22</v>
      </c>
      <c r="I58" s="1859" t="s">
        <v>910</v>
      </c>
    </row>
    <row customHeight="1" ht="11.25">
      <c r="A59" s="1859" t="s">
        <v>2335</v>
      </c>
      <c r="B59" s="1859" t="s">
        <v>16</v>
      </c>
      <c r="C59" s="1859" t="s">
        <v>2547</v>
      </c>
      <c r="D59" s="1859" t="s">
        <v>2548</v>
      </c>
      <c r="E59" s="1859" t="s">
        <v>2549</v>
      </c>
      <c r="F59" s="1859" t="s">
        <v>51</v>
      </c>
      <c r="G59" s="1859" t="s">
        <v>2550</v>
      </c>
      <c r="H59" s="1859" t="s">
        <v>22</v>
      </c>
      <c r="I59" s="1859" t="s">
        <v>910</v>
      </c>
    </row>
    <row customHeight="1" ht="11.25">
      <c r="A60" s="1859" t="s">
        <v>2335</v>
      </c>
      <c r="B60" s="1859" t="s">
        <v>16</v>
      </c>
      <c r="C60" s="1859" t="s">
        <v>2551</v>
      </c>
      <c r="D60" s="1859" t="s">
        <v>2552</v>
      </c>
      <c r="E60" s="1859" t="s">
        <v>2553</v>
      </c>
      <c r="F60" s="1859" t="s">
        <v>2518</v>
      </c>
      <c r="G60" s="1859" t="s">
        <v>22</v>
      </c>
      <c r="H60" s="1859" t="s">
        <v>22</v>
      </c>
      <c r="I60" s="1859" t="s">
        <v>910</v>
      </c>
    </row>
    <row customHeight="1" ht="11.25">
      <c r="A61" s="1859" t="s">
        <v>2335</v>
      </c>
      <c r="B61" s="1859" t="s">
        <v>16</v>
      </c>
      <c r="C61" s="1859" t="s">
        <v>2554</v>
      </c>
      <c r="D61" s="1859" t="s">
        <v>2555</v>
      </c>
      <c r="E61" s="1859" t="s">
        <v>2556</v>
      </c>
      <c r="F61" s="1859" t="s">
        <v>2395</v>
      </c>
      <c r="G61" s="1859" t="s">
        <v>22</v>
      </c>
      <c r="H61" s="1859" t="s">
        <v>22</v>
      </c>
      <c r="I61" s="1859" t="s">
        <v>910</v>
      </c>
    </row>
    <row customHeight="1" ht="11.25">
      <c r="A62" s="1859" t="s">
        <v>2335</v>
      </c>
      <c r="B62" s="1859" t="s">
        <v>16</v>
      </c>
      <c r="C62" s="1859" t="s">
        <v>2557</v>
      </c>
      <c r="D62" s="1859" t="s">
        <v>2558</v>
      </c>
      <c r="E62" s="1859" t="s">
        <v>2559</v>
      </c>
      <c r="F62" s="1859" t="s">
        <v>2560</v>
      </c>
      <c r="G62" s="1859" t="s">
        <v>22</v>
      </c>
      <c r="H62" s="1859" t="s">
        <v>22</v>
      </c>
      <c r="I62" s="1859" t="s">
        <v>910</v>
      </c>
    </row>
    <row customHeight="1" ht="11.25">
      <c r="A63" s="1859" t="s">
        <v>2335</v>
      </c>
      <c r="B63" s="1859" t="s">
        <v>16</v>
      </c>
      <c r="C63" s="1859" t="s">
        <v>2561</v>
      </c>
      <c r="D63" s="1859" t="s">
        <v>2562</v>
      </c>
      <c r="E63" s="1859" t="s">
        <v>2563</v>
      </c>
      <c r="F63" s="1859" t="s">
        <v>2372</v>
      </c>
      <c r="G63" s="1859" t="s">
        <v>2564</v>
      </c>
      <c r="H63" s="1859" t="s">
        <v>2565</v>
      </c>
      <c r="I63" s="1859" t="s">
        <v>910</v>
      </c>
    </row>
    <row customHeight="1" ht="11.25">
      <c r="A64" s="1859" t="s">
        <v>2335</v>
      </c>
      <c r="B64" s="1859" t="s">
        <v>16</v>
      </c>
      <c r="C64" s="1859" t="s">
        <v>2566</v>
      </c>
      <c r="D64" s="1859" t="s">
        <v>2567</v>
      </c>
      <c r="E64" s="1859" t="s">
        <v>2568</v>
      </c>
      <c r="F64" s="1859" t="s">
        <v>2395</v>
      </c>
      <c r="G64" s="1859" t="s">
        <v>2569</v>
      </c>
      <c r="H64" s="1859" t="s">
        <v>22</v>
      </c>
      <c r="I64" s="1859" t="s">
        <v>910</v>
      </c>
    </row>
    <row customHeight="1" ht="11.25">
      <c r="A65" s="1859" t="s">
        <v>2335</v>
      </c>
      <c r="B65" s="1859" t="s">
        <v>16</v>
      </c>
      <c r="C65" s="1859" t="s">
        <v>2570</v>
      </c>
      <c r="D65" s="1859" t="s">
        <v>2571</v>
      </c>
      <c r="E65" s="1859" t="s">
        <v>2572</v>
      </c>
      <c r="F65" s="1859" t="s">
        <v>2395</v>
      </c>
      <c r="G65" s="1859" t="s">
        <v>22</v>
      </c>
      <c r="H65" s="1859" t="s">
        <v>22</v>
      </c>
      <c r="I65" s="1859" t="s">
        <v>910</v>
      </c>
    </row>
    <row customHeight="1" ht="11.25">
      <c r="A66" s="1859" t="s">
        <v>2335</v>
      </c>
      <c r="B66" s="1859" t="s">
        <v>16</v>
      </c>
      <c r="C66" s="1859" t="s">
        <v>2573</v>
      </c>
      <c r="D66" s="1859" t="s">
        <v>2574</v>
      </c>
      <c r="E66" s="1859" t="s">
        <v>2575</v>
      </c>
      <c r="F66" s="1859" t="s">
        <v>2576</v>
      </c>
      <c r="G66" s="1859" t="s">
        <v>22</v>
      </c>
      <c r="H66" s="1859" t="s">
        <v>22</v>
      </c>
      <c r="I66" s="1859" t="s">
        <v>910</v>
      </c>
    </row>
    <row customHeight="1" ht="11.25">
      <c r="A67" s="1859" t="s">
        <v>2335</v>
      </c>
      <c r="B67" s="1859" t="s">
        <v>16</v>
      </c>
      <c r="C67" s="1859" t="s">
        <v>2577</v>
      </c>
      <c r="D67" s="1859" t="s">
        <v>2578</v>
      </c>
      <c r="E67" s="1859" t="s">
        <v>2579</v>
      </c>
      <c r="F67" s="1859" t="s">
        <v>2576</v>
      </c>
      <c r="G67" s="1859" t="s">
        <v>22</v>
      </c>
      <c r="H67" s="1859" t="s">
        <v>22</v>
      </c>
      <c r="I67" s="1859" t="s">
        <v>910</v>
      </c>
    </row>
    <row customHeight="1" ht="11.25">
      <c r="A68" s="1859" t="s">
        <v>2335</v>
      </c>
      <c r="B68" s="1859" t="s">
        <v>16</v>
      </c>
      <c r="C68" s="1859" t="s">
        <v>2580</v>
      </c>
      <c r="D68" s="1859" t="s">
        <v>2581</v>
      </c>
      <c r="E68" s="1859" t="s">
        <v>2582</v>
      </c>
      <c r="F68" s="1859" t="s">
        <v>2395</v>
      </c>
      <c r="G68" s="1859" t="s">
        <v>22</v>
      </c>
      <c r="H68" s="1859" t="s">
        <v>22</v>
      </c>
      <c r="I68" s="1859" t="s">
        <v>910</v>
      </c>
    </row>
    <row customHeight="1" ht="11.25">
      <c r="A69" s="1859" t="s">
        <v>2335</v>
      </c>
      <c r="B69" s="1859" t="s">
        <v>16</v>
      </c>
      <c r="C69" s="1859" t="s">
        <v>2583</v>
      </c>
      <c r="D69" s="1859" t="s">
        <v>2584</v>
      </c>
      <c r="E69" s="1859" t="s">
        <v>2585</v>
      </c>
      <c r="F69" s="1859" t="s">
        <v>2586</v>
      </c>
      <c r="G69" s="1859" t="s">
        <v>22</v>
      </c>
      <c r="H69" s="1859" t="s">
        <v>22</v>
      </c>
      <c r="I69" s="1859" t="s">
        <v>910</v>
      </c>
    </row>
    <row customHeight="1" ht="11.25">
      <c r="A70" s="1859" t="s">
        <v>2335</v>
      </c>
      <c r="B70" s="1859" t="s">
        <v>16</v>
      </c>
      <c r="C70" s="1859" t="s">
        <v>2587</v>
      </c>
      <c r="D70" s="1859" t="s">
        <v>2588</v>
      </c>
      <c r="E70" s="1859" t="s">
        <v>2589</v>
      </c>
      <c r="F70" s="1859" t="s">
        <v>2586</v>
      </c>
      <c r="G70" s="1859" t="s">
        <v>22</v>
      </c>
      <c r="H70" s="1859" t="s">
        <v>22</v>
      </c>
      <c r="I70" s="1859" t="s">
        <v>910</v>
      </c>
    </row>
    <row customHeight="1" ht="11.25">
      <c r="A71" s="1859" t="s">
        <v>2335</v>
      </c>
      <c r="B71" s="1859" t="s">
        <v>16</v>
      </c>
      <c r="C71" s="1859" t="s">
        <v>2590</v>
      </c>
      <c r="D71" s="1859" t="s">
        <v>2591</v>
      </c>
      <c r="E71" s="1859" t="s">
        <v>2592</v>
      </c>
      <c r="F71" s="1859" t="s">
        <v>2560</v>
      </c>
      <c r="G71" s="1859" t="s">
        <v>22</v>
      </c>
      <c r="H71" s="1859" t="s">
        <v>22</v>
      </c>
      <c r="I71" s="1859" t="s">
        <v>910</v>
      </c>
    </row>
    <row customHeight="1" ht="11.25">
      <c r="A72" s="1859" t="s">
        <v>2335</v>
      </c>
      <c r="B72" s="1859" t="s">
        <v>16</v>
      </c>
      <c r="C72" s="1859" t="s">
        <v>2593</v>
      </c>
      <c r="D72" s="1859" t="s">
        <v>2594</v>
      </c>
      <c r="E72" s="1859" t="s">
        <v>2595</v>
      </c>
      <c r="F72" s="1859" t="s">
        <v>2576</v>
      </c>
      <c r="G72" s="1859" t="s">
        <v>22</v>
      </c>
      <c r="H72" s="1859" t="s">
        <v>22</v>
      </c>
      <c r="I72" s="1859" t="s">
        <v>910</v>
      </c>
    </row>
    <row customHeight="1" ht="11.25">
      <c r="A73" s="1859" t="s">
        <v>2335</v>
      </c>
      <c r="B73" s="1859" t="s">
        <v>16</v>
      </c>
      <c r="C73" s="1859" t="s">
        <v>2596</v>
      </c>
      <c r="D73" s="1859" t="s">
        <v>2597</v>
      </c>
      <c r="E73" s="1859" t="s">
        <v>2598</v>
      </c>
      <c r="F73" s="1859" t="s">
        <v>2518</v>
      </c>
      <c r="G73" s="1859" t="s">
        <v>22</v>
      </c>
      <c r="H73" s="1859" t="s">
        <v>22</v>
      </c>
      <c r="I73" s="1859" t="s">
        <v>910</v>
      </c>
    </row>
    <row customHeight="1" ht="11.25">
      <c r="A74" s="1859" t="s">
        <v>2335</v>
      </c>
      <c r="B74" s="1859" t="s">
        <v>16</v>
      </c>
      <c r="C74" s="1859" t="s">
        <v>2599</v>
      </c>
      <c r="D74" s="1859" t="s">
        <v>2600</v>
      </c>
      <c r="E74" s="1859" t="s">
        <v>2601</v>
      </c>
      <c r="F74" s="1859" t="s">
        <v>2586</v>
      </c>
      <c r="G74" s="1859" t="s">
        <v>22</v>
      </c>
      <c r="H74" s="1859" t="s">
        <v>22</v>
      </c>
      <c r="I74" s="1859" t="s">
        <v>910</v>
      </c>
    </row>
    <row customHeight="1" ht="11.25">
      <c r="A75" s="1859" t="s">
        <v>2335</v>
      </c>
      <c r="B75" s="1859" t="s">
        <v>16</v>
      </c>
      <c r="C75" s="1859" t="s">
        <v>2602</v>
      </c>
      <c r="D75" s="1859" t="s">
        <v>2603</v>
      </c>
      <c r="E75" s="1859" t="s">
        <v>2604</v>
      </c>
      <c r="F75" s="1859" t="s">
        <v>2605</v>
      </c>
      <c r="G75" s="1859" t="s">
        <v>22</v>
      </c>
      <c r="H75" s="1859" t="s">
        <v>22</v>
      </c>
      <c r="I75" s="1859" t="s">
        <v>910</v>
      </c>
    </row>
    <row customHeight="1" ht="11.25">
      <c r="A76" s="1859" t="s">
        <v>2335</v>
      </c>
      <c r="B76" s="1859" t="s">
        <v>16</v>
      </c>
      <c r="C76" s="1859" t="s">
        <v>2606</v>
      </c>
      <c r="D76" s="1859" t="s">
        <v>2607</v>
      </c>
      <c r="E76" s="1859" t="s">
        <v>2608</v>
      </c>
      <c r="F76" s="1859" t="s">
        <v>2586</v>
      </c>
      <c r="G76" s="1859" t="s">
        <v>22</v>
      </c>
      <c r="H76" s="1859" t="s">
        <v>22</v>
      </c>
      <c r="I76" s="1859" t="s">
        <v>910</v>
      </c>
    </row>
    <row customHeight="1" ht="11.25">
      <c r="A77" s="1859" t="s">
        <v>2335</v>
      </c>
      <c r="B77" s="1859" t="s">
        <v>16</v>
      </c>
      <c r="C77" s="1859" t="s">
        <v>2609</v>
      </c>
      <c r="D77" s="1859" t="s">
        <v>2610</v>
      </c>
      <c r="E77" s="1859" t="s">
        <v>2611</v>
      </c>
      <c r="F77" s="1859" t="s">
        <v>2518</v>
      </c>
      <c r="G77" s="1859" t="s">
        <v>2612</v>
      </c>
      <c r="H77" s="1859" t="s">
        <v>2613</v>
      </c>
      <c r="I77" s="1859" t="s">
        <v>910</v>
      </c>
    </row>
    <row customHeight="1" ht="11.25">
      <c r="A78" s="1859" t="s">
        <v>2335</v>
      </c>
      <c r="B78" s="1859" t="s">
        <v>16</v>
      </c>
      <c r="C78" s="1859" t="s">
        <v>2614</v>
      </c>
      <c r="D78" s="1859" t="s">
        <v>2615</v>
      </c>
      <c r="E78" s="1859" t="s">
        <v>2616</v>
      </c>
      <c r="F78" s="1859" t="s">
        <v>2560</v>
      </c>
      <c r="G78" s="1859" t="s">
        <v>22</v>
      </c>
      <c r="H78" s="1859" t="s">
        <v>22</v>
      </c>
      <c r="I78" s="1859" t="s">
        <v>910</v>
      </c>
    </row>
    <row customHeight="1" ht="11.25">
      <c r="A79" s="1859" t="s">
        <v>2335</v>
      </c>
      <c r="B79" s="1859" t="s">
        <v>16</v>
      </c>
      <c r="C79" s="1859" t="s">
        <v>2617</v>
      </c>
      <c r="D79" s="1859" t="s">
        <v>2618</v>
      </c>
      <c r="E79" s="1859" t="s">
        <v>2619</v>
      </c>
      <c r="F79" s="1859" t="s">
        <v>2620</v>
      </c>
      <c r="G79" s="1859" t="s">
        <v>22</v>
      </c>
      <c r="H79" s="1859" t="s">
        <v>22</v>
      </c>
      <c r="I79" s="1859" t="s">
        <v>910</v>
      </c>
    </row>
    <row customHeight="1" ht="11.25">
      <c r="A80" s="1859" t="s">
        <v>2335</v>
      </c>
      <c r="B80" s="1859" t="s">
        <v>16</v>
      </c>
      <c r="C80" s="1859" t="s">
        <v>2621</v>
      </c>
      <c r="D80" s="1859" t="s">
        <v>2622</v>
      </c>
      <c r="E80" s="1859" t="s">
        <v>2623</v>
      </c>
      <c r="F80" s="1859" t="s">
        <v>2513</v>
      </c>
      <c r="G80" s="1859" t="s">
        <v>22</v>
      </c>
      <c r="H80" s="1859" t="s">
        <v>22</v>
      </c>
      <c r="I80" s="1859" t="s">
        <v>910</v>
      </c>
    </row>
    <row customHeight="1" ht="11.25">
      <c r="A81" s="1859" t="s">
        <v>2335</v>
      </c>
      <c r="B81" s="1859" t="s">
        <v>16</v>
      </c>
      <c r="C81" s="1859" t="s">
        <v>2624</v>
      </c>
      <c r="D81" s="1859" t="s">
        <v>2625</v>
      </c>
      <c r="E81" s="1859" t="s">
        <v>2626</v>
      </c>
      <c r="F81" s="1859" t="s">
        <v>2395</v>
      </c>
      <c r="G81" s="1859" t="s">
        <v>22</v>
      </c>
      <c r="H81" s="1859" t="s">
        <v>22</v>
      </c>
      <c r="I81" s="1859" t="s">
        <v>910</v>
      </c>
    </row>
    <row customHeight="1" ht="11.25">
      <c r="A82" s="1859" t="s">
        <v>2335</v>
      </c>
      <c r="B82" s="1859" t="s">
        <v>16</v>
      </c>
      <c r="C82" s="1859" t="s">
        <v>2627</v>
      </c>
      <c r="D82" s="1859" t="s">
        <v>2628</v>
      </c>
      <c r="E82" s="1859" t="s">
        <v>2629</v>
      </c>
      <c r="F82" s="1859" t="s">
        <v>2469</v>
      </c>
      <c r="G82" s="1859" t="s">
        <v>22</v>
      </c>
      <c r="H82" s="1859" t="s">
        <v>2630</v>
      </c>
      <c r="I82" s="1859" t="s">
        <v>910</v>
      </c>
    </row>
    <row customHeight="1" ht="11.25">
      <c r="A83" s="1859" t="s">
        <v>2335</v>
      </c>
      <c r="B83" s="1859" t="s">
        <v>16</v>
      </c>
      <c r="C83" s="1859" t="s">
        <v>2631</v>
      </c>
      <c r="D83" s="1859" t="s">
        <v>2632</v>
      </c>
      <c r="E83" s="1859" t="s">
        <v>2633</v>
      </c>
      <c r="F83" s="1859" t="s">
        <v>2634</v>
      </c>
      <c r="G83" s="1859" t="s">
        <v>22</v>
      </c>
      <c r="H83" s="1859" t="s">
        <v>22</v>
      </c>
      <c r="I83" s="1859" t="s">
        <v>910</v>
      </c>
    </row>
    <row customHeight="1" ht="11.25">
      <c r="A84" s="1859" t="s">
        <v>2335</v>
      </c>
      <c r="B84" s="1859" t="s">
        <v>16</v>
      </c>
      <c r="C84" s="1859" t="s">
        <v>2635</v>
      </c>
      <c r="D84" s="1859" t="s">
        <v>2636</v>
      </c>
      <c r="E84" s="1859" t="s">
        <v>2637</v>
      </c>
      <c r="F84" s="1859" t="s">
        <v>2586</v>
      </c>
      <c r="G84" s="1859" t="s">
        <v>22</v>
      </c>
      <c r="H84" s="1859" t="s">
        <v>22</v>
      </c>
      <c r="I84" s="1859" t="s">
        <v>910</v>
      </c>
    </row>
    <row customHeight="1" ht="11.25">
      <c r="A85" s="1859" t="s">
        <v>2335</v>
      </c>
      <c r="B85" s="1859" t="s">
        <v>16</v>
      </c>
      <c r="C85" s="1859" t="s">
        <v>2638</v>
      </c>
      <c r="D85" s="1859" t="s">
        <v>2639</v>
      </c>
      <c r="E85" s="1859" t="s">
        <v>2640</v>
      </c>
      <c r="F85" s="1859" t="s">
        <v>2641</v>
      </c>
      <c r="G85" s="1859" t="s">
        <v>22</v>
      </c>
      <c r="H85" s="1859" t="s">
        <v>22</v>
      </c>
      <c r="I85" s="1859" t="s">
        <v>910</v>
      </c>
    </row>
    <row customHeight="1" ht="11.25">
      <c r="A86" s="1859" t="s">
        <v>2335</v>
      </c>
      <c r="B86" s="1859" t="s">
        <v>16</v>
      </c>
      <c r="C86" s="1859" t="s">
        <v>2642</v>
      </c>
      <c r="D86" s="1859" t="s">
        <v>2643</v>
      </c>
      <c r="E86" s="1859" t="s">
        <v>2644</v>
      </c>
      <c r="F86" s="1859" t="s">
        <v>2481</v>
      </c>
      <c r="G86" s="1859" t="s">
        <v>22</v>
      </c>
      <c r="H86" s="1859" t="s">
        <v>22</v>
      </c>
      <c r="I86" s="1859" t="s">
        <v>910</v>
      </c>
    </row>
    <row customHeight="1" ht="11.25">
      <c r="A87" s="1859" t="s">
        <v>2335</v>
      </c>
      <c r="B87" s="1859" t="s">
        <v>16</v>
      </c>
      <c r="C87" s="1859" t="s">
        <v>2645</v>
      </c>
      <c r="D87" s="1859" t="s">
        <v>2646</v>
      </c>
      <c r="E87" s="1859" t="s">
        <v>2647</v>
      </c>
      <c r="F87" s="1859" t="s">
        <v>2518</v>
      </c>
      <c r="G87" s="1859" t="s">
        <v>22</v>
      </c>
      <c r="H87" s="1859" t="s">
        <v>22</v>
      </c>
      <c r="I87" s="1859" t="s">
        <v>910</v>
      </c>
    </row>
    <row customHeight="1" ht="11.25">
      <c r="A88" s="1859" t="s">
        <v>2335</v>
      </c>
      <c r="B88" s="1859" t="s">
        <v>16</v>
      </c>
      <c r="C88" s="1859" t="s">
        <v>2648</v>
      </c>
      <c r="D88" s="1859" t="s">
        <v>2649</v>
      </c>
      <c r="E88" s="1859" t="s">
        <v>2650</v>
      </c>
      <c r="F88" s="1859" t="s">
        <v>2651</v>
      </c>
      <c r="G88" s="1859" t="s">
        <v>22</v>
      </c>
      <c r="H88" s="1859" t="s">
        <v>22</v>
      </c>
      <c r="I88" s="1859" t="s">
        <v>910</v>
      </c>
    </row>
    <row customHeight="1" ht="11.25">
      <c r="A89" s="1859" t="s">
        <v>2335</v>
      </c>
      <c r="B89" s="1859" t="s">
        <v>16</v>
      </c>
      <c r="C89" s="1859" t="s">
        <v>2652</v>
      </c>
      <c r="D89" s="1859" t="s">
        <v>2653</v>
      </c>
      <c r="E89" s="1859" t="s">
        <v>2654</v>
      </c>
      <c r="F89" s="1859" t="s">
        <v>2364</v>
      </c>
      <c r="G89" s="1859" t="s">
        <v>22</v>
      </c>
      <c r="H89" s="1859" t="s">
        <v>22</v>
      </c>
      <c r="I89" s="1859" t="s">
        <v>910</v>
      </c>
    </row>
    <row customHeight="1" ht="11.25">
      <c r="A90" s="1859" t="s">
        <v>2335</v>
      </c>
      <c r="B90" s="1859" t="s">
        <v>16</v>
      </c>
      <c r="C90" s="1859" t="s">
        <v>2655</v>
      </c>
      <c r="D90" s="1859" t="s">
        <v>2656</v>
      </c>
      <c r="E90" s="1859" t="s">
        <v>2657</v>
      </c>
      <c r="F90" s="1859" t="s">
        <v>2658</v>
      </c>
      <c r="G90" s="1859" t="s">
        <v>22</v>
      </c>
      <c r="H90" s="1859" t="s">
        <v>22</v>
      </c>
      <c r="I90" s="1859" t="s">
        <v>910</v>
      </c>
    </row>
    <row customHeight="1" ht="11.25">
      <c r="A91" s="1859" t="s">
        <v>2335</v>
      </c>
      <c r="B91" s="1859" t="s">
        <v>16</v>
      </c>
      <c r="C91" s="1859" t="s">
        <v>2659</v>
      </c>
      <c r="D91" s="1859" t="s">
        <v>2660</v>
      </c>
      <c r="E91" s="1859" t="s">
        <v>2661</v>
      </c>
      <c r="F91" s="1859" t="s">
        <v>2402</v>
      </c>
      <c r="G91" s="1859" t="s">
        <v>22</v>
      </c>
      <c r="H91" s="1859" t="s">
        <v>22</v>
      </c>
      <c r="I91" s="1859" t="s">
        <v>910</v>
      </c>
    </row>
    <row customHeight="1" ht="11.25">
      <c r="A92" s="1859" t="s">
        <v>2335</v>
      </c>
      <c r="B92" s="1859" t="s">
        <v>16</v>
      </c>
      <c r="C92" s="1859" t="s">
        <v>2662</v>
      </c>
      <c r="D92" s="1859" t="s">
        <v>2663</v>
      </c>
      <c r="E92" s="1859" t="s">
        <v>2664</v>
      </c>
      <c r="F92" s="1859" t="s">
        <v>2665</v>
      </c>
      <c r="G92" s="1859" t="s">
        <v>22</v>
      </c>
      <c r="H92" s="1859" t="s">
        <v>22</v>
      </c>
      <c r="I92" s="1859" t="s">
        <v>910</v>
      </c>
    </row>
    <row customHeight="1" ht="11.25">
      <c r="A93" s="1859" t="s">
        <v>2335</v>
      </c>
      <c r="B93" s="1859" t="s">
        <v>16</v>
      </c>
      <c r="C93" s="1859" t="s">
        <v>2666</v>
      </c>
      <c r="D93" s="1859" t="s">
        <v>2667</v>
      </c>
      <c r="E93" s="1859" t="s">
        <v>2668</v>
      </c>
      <c r="F93" s="1859" t="s">
        <v>2339</v>
      </c>
      <c r="G93" s="1859" t="s">
        <v>22</v>
      </c>
      <c r="H93" s="1859" t="s">
        <v>22</v>
      </c>
      <c r="I93" s="1859" t="s">
        <v>910</v>
      </c>
    </row>
    <row customHeight="1" ht="11.25">
      <c r="A94" s="1859" t="s">
        <v>2335</v>
      </c>
      <c r="B94" s="1859" t="s">
        <v>16</v>
      </c>
      <c r="C94" s="1859" t="s">
        <v>2669</v>
      </c>
      <c r="D94" s="1859" t="s">
        <v>2670</v>
      </c>
      <c r="E94" s="1859" t="s">
        <v>2671</v>
      </c>
      <c r="F94" s="1859" t="s">
        <v>2620</v>
      </c>
      <c r="G94" s="1859" t="s">
        <v>22</v>
      </c>
      <c r="H94" s="1859" t="s">
        <v>22</v>
      </c>
      <c r="I94" s="1859" t="s">
        <v>910</v>
      </c>
    </row>
    <row customHeight="1" ht="11.25">
      <c r="A95" s="1859" t="s">
        <v>2335</v>
      </c>
      <c r="B95" s="1859" t="s">
        <v>16</v>
      </c>
      <c r="C95" s="1859" t="s">
        <v>2672</v>
      </c>
      <c r="D95" s="1859" t="s">
        <v>2673</v>
      </c>
      <c r="E95" s="1859" t="s">
        <v>2674</v>
      </c>
      <c r="F95" s="1859" t="s">
        <v>2455</v>
      </c>
      <c r="G95" s="1859" t="s">
        <v>22</v>
      </c>
      <c r="H95" s="1859" t="s">
        <v>22</v>
      </c>
      <c r="I95" s="1859" t="s">
        <v>910</v>
      </c>
    </row>
    <row customHeight="1" ht="11.25">
      <c r="A96" s="1859" t="s">
        <v>2335</v>
      </c>
      <c r="B96" s="1859" t="s">
        <v>16</v>
      </c>
      <c r="C96" s="1859" t="s">
        <v>2675</v>
      </c>
      <c r="D96" s="1859" t="s">
        <v>2676</v>
      </c>
      <c r="E96" s="1859" t="s">
        <v>2677</v>
      </c>
      <c r="F96" s="1859" t="s">
        <v>2455</v>
      </c>
      <c r="G96" s="1859" t="s">
        <v>22</v>
      </c>
      <c r="H96" s="1859" t="s">
        <v>22</v>
      </c>
      <c r="I96" s="1859" t="s">
        <v>910</v>
      </c>
    </row>
    <row customHeight="1" ht="11.25">
      <c r="A97" s="1859" t="s">
        <v>2335</v>
      </c>
      <c r="B97" s="1859" t="s">
        <v>16</v>
      </c>
      <c r="C97" s="1859" t="s">
        <v>2678</v>
      </c>
      <c r="D97" s="1859" t="s">
        <v>2679</v>
      </c>
      <c r="E97" s="1859" t="s">
        <v>2680</v>
      </c>
      <c r="F97" s="1859" t="s">
        <v>2395</v>
      </c>
      <c r="G97" s="1859" t="s">
        <v>2681</v>
      </c>
      <c r="H97" s="1859" t="s">
        <v>22</v>
      </c>
      <c r="I97" s="1859" t="s">
        <v>910</v>
      </c>
    </row>
    <row customHeight="1" ht="11.25">
      <c r="A98" s="1859" t="s">
        <v>2335</v>
      </c>
      <c r="B98" s="1859" t="s">
        <v>16</v>
      </c>
      <c r="C98" s="1859" t="s">
        <v>2682</v>
      </c>
      <c r="D98" s="1859" t="s">
        <v>2683</v>
      </c>
      <c r="E98" s="1859" t="s">
        <v>2684</v>
      </c>
      <c r="F98" s="1859" t="s">
        <v>2685</v>
      </c>
      <c r="G98" s="1859" t="s">
        <v>22</v>
      </c>
      <c r="H98" s="1859" t="s">
        <v>22</v>
      </c>
      <c r="I98" s="1859" t="s">
        <v>910</v>
      </c>
    </row>
    <row customHeight="1" ht="11.25">
      <c r="A99" s="1859" t="s">
        <v>2335</v>
      </c>
      <c r="B99" s="1859" t="s">
        <v>16</v>
      </c>
      <c r="C99" s="1859" t="s">
        <v>2686</v>
      </c>
      <c r="D99" s="1859" t="s">
        <v>2687</v>
      </c>
      <c r="E99" s="1859" t="s">
        <v>2684</v>
      </c>
      <c r="F99" s="1859" t="s">
        <v>2688</v>
      </c>
      <c r="G99" s="1859" t="s">
        <v>22</v>
      </c>
      <c r="H99" s="1859" t="s">
        <v>22</v>
      </c>
      <c r="I99" s="1859" t="s">
        <v>910</v>
      </c>
    </row>
    <row customHeight="1" ht="11.25">
      <c r="A100" s="1859" t="s">
        <v>2335</v>
      </c>
      <c r="B100" s="1859" t="s">
        <v>16</v>
      </c>
      <c r="C100" s="1859" t="s">
        <v>2689</v>
      </c>
      <c r="D100" s="1859" t="s">
        <v>2690</v>
      </c>
      <c r="E100" s="1859" t="s">
        <v>2691</v>
      </c>
      <c r="F100" s="1859" t="s">
        <v>2410</v>
      </c>
      <c r="G100" s="1859" t="s">
        <v>22</v>
      </c>
      <c r="H100" s="1859" t="s">
        <v>22</v>
      </c>
      <c r="I100" s="1859" t="s">
        <v>910</v>
      </c>
    </row>
    <row customHeight="1" ht="11.25">
      <c r="A101" s="1859" t="s">
        <v>2335</v>
      </c>
      <c r="B101" s="1859" t="s">
        <v>16</v>
      </c>
      <c r="C101" s="1859" t="s">
        <v>2692</v>
      </c>
      <c r="D101" s="1859" t="s">
        <v>2693</v>
      </c>
      <c r="E101" s="1859" t="s">
        <v>2694</v>
      </c>
      <c r="F101" s="1859" t="s">
        <v>2402</v>
      </c>
      <c r="G101" s="1859" t="s">
        <v>22</v>
      </c>
      <c r="H101" s="1859" t="s">
        <v>22</v>
      </c>
      <c r="I101" s="1859" t="s">
        <v>910</v>
      </c>
    </row>
    <row customHeight="1" ht="11.25">
      <c r="A102" s="1859" t="s">
        <v>2335</v>
      </c>
      <c r="B102" s="1859" t="s">
        <v>16</v>
      </c>
      <c r="C102" s="1859" t="s">
        <v>2695</v>
      </c>
      <c r="D102" s="1859" t="s">
        <v>2696</v>
      </c>
      <c r="E102" s="1859" t="s">
        <v>2697</v>
      </c>
      <c r="F102" s="1859" t="s">
        <v>2402</v>
      </c>
      <c r="G102" s="1859" t="s">
        <v>22</v>
      </c>
      <c r="H102" s="1859" t="s">
        <v>22</v>
      </c>
      <c r="I102" s="1859" t="s">
        <v>910</v>
      </c>
    </row>
    <row customHeight="1" ht="11.25">
      <c r="A103" s="1859" t="s">
        <v>2335</v>
      </c>
      <c r="B103" s="1859" t="s">
        <v>16</v>
      </c>
      <c r="C103" s="1859" t="s">
        <v>2698</v>
      </c>
      <c r="D103" s="1859" t="s">
        <v>2699</v>
      </c>
      <c r="E103" s="1859" t="s">
        <v>2700</v>
      </c>
      <c r="F103" s="1859" t="s">
        <v>2402</v>
      </c>
      <c r="G103" s="1859" t="s">
        <v>2701</v>
      </c>
      <c r="H103" s="1859" t="s">
        <v>22</v>
      </c>
      <c r="I103" s="1859" t="s">
        <v>910</v>
      </c>
    </row>
    <row customHeight="1" ht="11.25">
      <c r="A104" s="1859" t="s">
        <v>2335</v>
      </c>
      <c r="B104" s="1859" t="s">
        <v>16</v>
      </c>
      <c r="C104" s="1859" t="s">
        <v>2702</v>
      </c>
      <c r="D104" s="1859" t="s">
        <v>2703</v>
      </c>
      <c r="E104" s="1859" t="s">
        <v>2704</v>
      </c>
      <c r="F104" s="1859" t="s">
        <v>2473</v>
      </c>
      <c r="G104" s="1859" t="s">
        <v>22</v>
      </c>
      <c r="H104" s="1859" t="s">
        <v>22</v>
      </c>
      <c r="I104" s="1859" t="s">
        <v>910</v>
      </c>
    </row>
    <row customHeight="1" ht="11.25">
      <c r="A105" s="1859" t="s">
        <v>2335</v>
      </c>
      <c r="B105" s="1859" t="s">
        <v>16</v>
      </c>
      <c r="C105" s="1859" t="s">
        <v>2705</v>
      </c>
      <c r="D105" s="1859" t="s">
        <v>2706</v>
      </c>
      <c r="E105" s="1859" t="s">
        <v>2707</v>
      </c>
      <c r="F105" s="1859" t="s">
        <v>2402</v>
      </c>
      <c r="G105" s="1859" t="s">
        <v>2708</v>
      </c>
      <c r="H105" s="1859" t="s">
        <v>22</v>
      </c>
      <c r="I105" s="1859" t="s">
        <v>910</v>
      </c>
    </row>
    <row customHeight="1" ht="11.25">
      <c r="A106" s="1859" t="s">
        <v>2335</v>
      </c>
      <c r="B106" s="1859" t="s">
        <v>16</v>
      </c>
      <c r="C106" s="1859" t="s">
        <v>2709</v>
      </c>
      <c r="D106" s="1859" t="s">
        <v>2710</v>
      </c>
      <c r="E106" s="1859" t="s">
        <v>2711</v>
      </c>
      <c r="F106" s="1859" t="s">
        <v>2586</v>
      </c>
      <c r="G106" s="1859" t="s">
        <v>2712</v>
      </c>
      <c r="H106" s="1859" t="s">
        <v>22</v>
      </c>
      <c r="I106" s="1859" t="s">
        <v>910</v>
      </c>
    </row>
    <row customHeight="1" ht="11.25">
      <c r="A107" s="1859" t="s">
        <v>2335</v>
      </c>
      <c r="B107" s="1859" t="s">
        <v>16</v>
      </c>
      <c r="C107" s="1859" t="s">
        <v>2713</v>
      </c>
      <c r="D107" s="1859" t="s">
        <v>2714</v>
      </c>
      <c r="E107" s="1859" t="s">
        <v>2715</v>
      </c>
      <c r="F107" s="1859" t="s">
        <v>2518</v>
      </c>
      <c r="G107" s="1859" t="s">
        <v>2716</v>
      </c>
      <c r="H107" s="1859" t="s">
        <v>22</v>
      </c>
      <c r="I107" s="1859" t="s">
        <v>910</v>
      </c>
    </row>
    <row customHeight="1" ht="11.25">
      <c r="A108" s="1859" t="s">
        <v>2335</v>
      </c>
      <c r="B108" s="1859" t="s">
        <v>16</v>
      </c>
      <c r="C108" s="1859" t="s">
        <v>2717</v>
      </c>
      <c r="D108" s="1859" t="s">
        <v>2718</v>
      </c>
      <c r="E108" s="1859" t="s">
        <v>2719</v>
      </c>
      <c r="F108" s="1859" t="s">
        <v>2658</v>
      </c>
      <c r="G108" s="1859" t="s">
        <v>2720</v>
      </c>
      <c r="H108" s="1859" t="s">
        <v>22</v>
      </c>
      <c r="I108" s="1859" t="s">
        <v>910</v>
      </c>
    </row>
    <row customHeight="1" ht="11.25">
      <c r="A109" s="1859" t="s">
        <v>2335</v>
      </c>
      <c r="B109" s="1859" t="s">
        <v>16</v>
      </c>
      <c r="C109" s="1859" t="s">
        <v>2721</v>
      </c>
      <c r="D109" s="1859" t="s">
        <v>2722</v>
      </c>
      <c r="E109" s="1859" t="s">
        <v>2723</v>
      </c>
      <c r="F109" s="1859" t="s">
        <v>2465</v>
      </c>
      <c r="G109" s="1859" t="s">
        <v>22</v>
      </c>
      <c r="H109" s="1859" t="s">
        <v>22</v>
      </c>
      <c r="I109" s="1859" t="s">
        <v>910</v>
      </c>
    </row>
    <row customHeight="1" ht="11.25">
      <c r="A110" s="1859" t="s">
        <v>2335</v>
      </c>
      <c r="B110" s="1859" t="s">
        <v>16</v>
      </c>
      <c r="C110" s="1859" t="s">
        <v>2724</v>
      </c>
      <c r="D110" s="1859" t="s">
        <v>2725</v>
      </c>
      <c r="E110" s="1859" t="s">
        <v>2726</v>
      </c>
      <c r="F110" s="1859" t="s">
        <v>2455</v>
      </c>
      <c r="G110" s="1859" t="s">
        <v>22</v>
      </c>
      <c r="H110" s="1859" t="s">
        <v>22</v>
      </c>
      <c r="I110" s="1859" t="s">
        <v>910</v>
      </c>
    </row>
    <row customHeight="1" ht="11.25">
      <c r="A111" s="1859" t="s">
        <v>2335</v>
      </c>
      <c r="B111" s="1859" t="s">
        <v>16</v>
      </c>
      <c r="C111" s="1859" t="s">
        <v>2727</v>
      </c>
      <c r="D111" s="1859" t="s">
        <v>2728</v>
      </c>
      <c r="E111" s="1859" t="s">
        <v>2729</v>
      </c>
      <c r="F111" s="1859" t="s">
        <v>2410</v>
      </c>
      <c r="G111" s="1859" t="s">
        <v>22</v>
      </c>
      <c r="H111" s="1859" t="s">
        <v>22</v>
      </c>
      <c r="I111" s="1859" t="s">
        <v>910</v>
      </c>
    </row>
    <row customHeight="1" ht="11.25">
      <c r="A112" s="1859" t="s">
        <v>2335</v>
      </c>
      <c r="B112" s="1859" t="s">
        <v>16</v>
      </c>
      <c r="C112" s="1859" t="s">
        <v>2730</v>
      </c>
      <c r="D112" s="1859" t="s">
        <v>2731</v>
      </c>
      <c r="E112" s="1859" t="s">
        <v>2732</v>
      </c>
      <c r="F112" s="1859" t="s">
        <v>2395</v>
      </c>
      <c r="G112" s="1859" t="s">
        <v>2733</v>
      </c>
      <c r="H112" s="1859" t="s">
        <v>22</v>
      </c>
      <c r="I112" s="1859" t="s">
        <v>910</v>
      </c>
    </row>
    <row customHeight="1" ht="11.25">
      <c r="A113" s="1859" t="s">
        <v>2335</v>
      </c>
      <c r="B113" s="1859" t="s">
        <v>16</v>
      </c>
      <c r="C113" s="1859" t="s">
        <v>2734</v>
      </c>
      <c r="D113" s="1859" t="s">
        <v>2735</v>
      </c>
      <c r="E113" s="1859" t="s">
        <v>2736</v>
      </c>
      <c r="F113" s="1859" t="s">
        <v>2473</v>
      </c>
      <c r="G113" s="1859" t="s">
        <v>22</v>
      </c>
      <c r="H113" s="1859" t="s">
        <v>22</v>
      </c>
      <c r="I113" s="1859" t="s">
        <v>910</v>
      </c>
    </row>
    <row customHeight="1" ht="11.25">
      <c r="A114" s="1859" t="s">
        <v>2335</v>
      </c>
      <c r="B114" s="1859" t="s">
        <v>16</v>
      </c>
      <c r="C114" s="1859" t="s">
        <v>2737</v>
      </c>
      <c r="D114" s="1859" t="s">
        <v>2738</v>
      </c>
      <c r="E114" s="1859" t="s">
        <v>2739</v>
      </c>
      <c r="F114" s="1859" t="s">
        <v>2455</v>
      </c>
      <c r="G114" s="1859" t="s">
        <v>22</v>
      </c>
      <c r="H114" s="1859" t="s">
        <v>22</v>
      </c>
      <c r="I114" s="1859" t="s">
        <v>910</v>
      </c>
    </row>
    <row customHeight="1" ht="11.25">
      <c r="A115" s="1859" t="s">
        <v>2335</v>
      </c>
      <c r="B115" s="1859" t="s">
        <v>16</v>
      </c>
      <c r="C115" s="1859" t="s">
        <v>2740</v>
      </c>
      <c r="D115" s="1859" t="s">
        <v>2741</v>
      </c>
      <c r="E115" s="1859" t="s">
        <v>2742</v>
      </c>
      <c r="F115" s="1859" t="s">
        <v>2465</v>
      </c>
      <c r="G115" s="1859" t="s">
        <v>22</v>
      </c>
      <c r="H115" s="1859" t="s">
        <v>22</v>
      </c>
      <c r="I115" s="1859" t="s">
        <v>910</v>
      </c>
    </row>
    <row customHeight="1" ht="11.25">
      <c r="A116" s="1859" t="s">
        <v>2335</v>
      </c>
      <c r="B116" s="1859" t="s">
        <v>16</v>
      </c>
      <c r="C116" s="1859" t="s">
        <v>2743</v>
      </c>
      <c r="D116" s="1859" t="s">
        <v>2744</v>
      </c>
      <c r="E116" s="1859" t="s">
        <v>2745</v>
      </c>
      <c r="F116" s="1859" t="s">
        <v>2402</v>
      </c>
      <c r="G116" s="1859" t="s">
        <v>2746</v>
      </c>
      <c r="H116" s="1859" t="s">
        <v>22</v>
      </c>
      <c r="I116" s="1859" t="s">
        <v>910</v>
      </c>
    </row>
    <row customHeight="1" ht="11.25">
      <c r="A117" s="1859" t="s">
        <v>2335</v>
      </c>
      <c r="B117" s="1859" t="s">
        <v>16</v>
      </c>
      <c r="C117" s="1859" t="s">
        <v>2747</v>
      </c>
      <c r="D117" s="1859" t="s">
        <v>2748</v>
      </c>
      <c r="E117" s="1859" t="s">
        <v>2749</v>
      </c>
      <c r="F117" s="1859" t="s">
        <v>2560</v>
      </c>
      <c r="G117" s="1859" t="s">
        <v>2750</v>
      </c>
      <c r="H117" s="1859" t="s">
        <v>22</v>
      </c>
      <c r="I117" s="1859" t="s">
        <v>910</v>
      </c>
    </row>
    <row customHeight="1" ht="11.25">
      <c r="A118" s="1859" t="s">
        <v>2335</v>
      </c>
      <c r="B118" s="1859" t="s">
        <v>16</v>
      </c>
      <c r="C118" s="1859" t="s">
        <v>13</v>
      </c>
      <c r="D118" s="1859" t="s">
        <v>46</v>
      </c>
      <c r="E118" s="1859" t="s">
        <v>49</v>
      </c>
      <c r="F118" s="1859" t="s">
        <v>51</v>
      </c>
      <c r="G118" s="1859" t="s">
        <v>2751</v>
      </c>
      <c r="H118" s="1859" t="s">
        <v>22</v>
      </c>
      <c r="I118" s="1859" t="s">
        <v>910</v>
      </c>
    </row>
    <row customHeight="1" ht="11.25">
      <c r="A119" s="1859" t="s">
        <v>2335</v>
      </c>
      <c r="B119" s="1859" t="s">
        <v>16</v>
      </c>
      <c r="C119" s="1859" t="s">
        <v>2752</v>
      </c>
      <c r="D119" s="1859" t="s">
        <v>2753</v>
      </c>
      <c r="E119" s="1859" t="s">
        <v>2754</v>
      </c>
      <c r="F119" s="1859" t="s">
        <v>2402</v>
      </c>
      <c r="G119" s="1859" t="s">
        <v>22</v>
      </c>
      <c r="H119" s="1859" t="s">
        <v>22</v>
      </c>
      <c r="I119" s="1859" t="s">
        <v>910</v>
      </c>
    </row>
    <row customHeight="1" ht="11.25">
      <c r="A120" s="1859" t="s">
        <v>2335</v>
      </c>
      <c r="B120" s="1859" t="s">
        <v>16</v>
      </c>
      <c r="C120" s="1859" t="s">
        <v>2755</v>
      </c>
      <c r="D120" s="1859" t="s">
        <v>2756</v>
      </c>
      <c r="E120" s="1859" t="s">
        <v>2757</v>
      </c>
      <c r="F120" s="1859" t="s">
        <v>2402</v>
      </c>
      <c r="G120" s="1859" t="s">
        <v>2758</v>
      </c>
      <c r="H120" s="1859" t="s">
        <v>22</v>
      </c>
      <c r="I120" s="1859" t="s">
        <v>910</v>
      </c>
    </row>
    <row customHeight="1" ht="11.25">
      <c r="A121" s="1859" t="s">
        <v>2335</v>
      </c>
      <c r="B121" s="1859" t="s">
        <v>16</v>
      </c>
      <c r="C121" s="1859" t="s">
        <v>2759</v>
      </c>
      <c r="D121" s="1859" t="s">
        <v>2760</v>
      </c>
      <c r="E121" s="1859" t="s">
        <v>2761</v>
      </c>
      <c r="F121" s="1859" t="s">
        <v>2372</v>
      </c>
      <c r="G121" s="1859" t="s">
        <v>22</v>
      </c>
      <c r="H121" s="1859" t="s">
        <v>22</v>
      </c>
      <c r="I121" s="1859" t="s">
        <v>910</v>
      </c>
    </row>
    <row customHeight="1" ht="11.25">
      <c r="A122" s="1859" t="s">
        <v>2335</v>
      </c>
      <c r="B122" s="1859" t="s">
        <v>16</v>
      </c>
      <c r="C122" s="1859" t="s">
        <v>2762</v>
      </c>
      <c r="D122" s="1859" t="s">
        <v>2763</v>
      </c>
      <c r="E122" s="1859" t="s">
        <v>2764</v>
      </c>
      <c r="F122" s="1859" t="s">
        <v>2513</v>
      </c>
      <c r="G122" s="1859" t="s">
        <v>2765</v>
      </c>
      <c r="H122" s="1859" t="s">
        <v>22</v>
      </c>
      <c r="I122" s="1859" t="s">
        <v>910</v>
      </c>
    </row>
    <row customHeight="1" ht="11.25">
      <c r="A123" s="1859" t="s">
        <v>2335</v>
      </c>
      <c r="B123" s="1859" t="s">
        <v>16</v>
      </c>
      <c r="C123" s="1859" t="s">
        <v>2766</v>
      </c>
      <c r="D123" s="1859" t="s">
        <v>2767</v>
      </c>
      <c r="E123" s="1859" t="s">
        <v>2768</v>
      </c>
      <c r="F123" s="1859" t="s">
        <v>2576</v>
      </c>
      <c r="G123" s="1859" t="s">
        <v>22</v>
      </c>
      <c r="H123" s="1859" t="s">
        <v>22</v>
      </c>
      <c r="I123" s="1859" t="s">
        <v>910</v>
      </c>
    </row>
    <row customHeight="1" ht="11.25">
      <c r="A124" s="1859" t="s">
        <v>2335</v>
      </c>
      <c r="B124" s="1859" t="s">
        <v>16</v>
      </c>
      <c r="C124" s="1859" t="s">
        <v>2769</v>
      </c>
      <c r="D124" s="1859" t="s">
        <v>2770</v>
      </c>
      <c r="E124" s="1859" t="s">
        <v>2771</v>
      </c>
      <c r="F124" s="1859" t="s">
        <v>2395</v>
      </c>
      <c r="G124" s="1859" t="s">
        <v>2772</v>
      </c>
      <c r="H124" s="1859" t="s">
        <v>22</v>
      </c>
      <c r="I124" s="1859" t="s">
        <v>910</v>
      </c>
    </row>
    <row customHeight="1" ht="11.25">
      <c r="A125" s="1859" t="s">
        <v>2335</v>
      </c>
      <c r="B125" s="1859" t="s">
        <v>16</v>
      </c>
      <c r="C125" s="1859" t="s">
        <v>2773</v>
      </c>
      <c r="D125" s="1859" t="s">
        <v>2774</v>
      </c>
      <c r="E125" s="1859" t="s">
        <v>2775</v>
      </c>
      <c r="F125" s="1859" t="s">
        <v>2455</v>
      </c>
      <c r="G125" s="1859" t="s">
        <v>2776</v>
      </c>
      <c r="H125" s="1859" t="s">
        <v>22</v>
      </c>
      <c r="I125" s="1859" t="s">
        <v>910</v>
      </c>
    </row>
    <row customHeight="1" ht="11.25">
      <c r="A126" s="1859" t="s">
        <v>2335</v>
      </c>
      <c r="B126" s="1859" t="s">
        <v>16</v>
      </c>
      <c r="C126" s="1859" t="s">
        <v>2777</v>
      </c>
      <c r="D126" s="1859" t="s">
        <v>2778</v>
      </c>
      <c r="E126" s="1859" t="s">
        <v>2779</v>
      </c>
      <c r="F126" s="1859" t="s">
        <v>2349</v>
      </c>
      <c r="G126" s="1859" t="s">
        <v>22</v>
      </c>
      <c r="H126" s="1859" t="s">
        <v>22</v>
      </c>
      <c r="I126" s="1859" t="s">
        <v>910</v>
      </c>
    </row>
    <row customHeight="1" ht="11.25">
      <c r="A127" s="1859" t="s">
        <v>2335</v>
      </c>
      <c r="B127" s="1859" t="s">
        <v>16</v>
      </c>
      <c r="C127" s="1859" t="s">
        <v>2780</v>
      </c>
      <c r="D127" s="1859" t="s">
        <v>2781</v>
      </c>
      <c r="E127" s="1859" t="s">
        <v>2782</v>
      </c>
      <c r="F127" s="1859" t="s">
        <v>2429</v>
      </c>
      <c r="G127" s="1859" t="s">
        <v>2783</v>
      </c>
      <c r="H127" s="1859" t="s">
        <v>22</v>
      </c>
      <c r="I127" s="1859" t="s">
        <v>910</v>
      </c>
    </row>
    <row customHeight="1" ht="11.25">
      <c r="A128" s="1859" t="s">
        <v>2335</v>
      </c>
      <c r="B128" s="1859" t="s">
        <v>16</v>
      </c>
      <c r="C128" s="1859" t="s">
        <v>2784</v>
      </c>
      <c r="D128" s="1859" t="s">
        <v>2785</v>
      </c>
      <c r="E128" s="1859" t="s">
        <v>2786</v>
      </c>
      <c r="F128" s="1859" t="s">
        <v>2406</v>
      </c>
      <c r="G128" s="1859" t="s">
        <v>22</v>
      </c>
      <c r="H128" s="1859" t="s">
        <v>22</v>
      </c>
      <c r="I128" s="1859" t="s">
        <v>910</v>
      </c>
    </row>
    <row customHeight="1" ht="11.25">
      <c r="A129" s="1859" t="s">
        <v>2335</v>
      </c>
      <c r="B129" s="1859" t="s">
        <v>16</v>
      </c>
      <c r="C129" s="1859" t="s">
        <v>2787</v>
      </c>
      <c r="D129" s="1859" t="s">
        <v>2788</v>
      </c>
      <c r="E129" s="1859" t="s">
        <v>2789</v>
      </c>
      <c r="F129" s="1859" t="s">
        <v>2473</v>
      </c>
      <c r="G129" s="1859" t="s">
        <v>2790</v>
      </c>
      <c r="H129" s="1859" t="s">
        <v>22</v>
      </c>
      <c r="I129" s="1859" t="s">
        <v>910</v>
      </c>
    </row>
    <row customHeight="1" ht="11.25">
      <c r="A130" s="1859" t="s">
        <v>2335</v>
      </c>
      <c r="B130" s="1859" t="s">
        <v>16</v>
      </c>
      <c r="C130" s="1859" t="s">
        <v>2791</v>
      </c>
      <c r="D130" s="1859" t="s">
        <v>2792</v>
      </c>
      <c r="E130" s="1859" t="s">
        <v>2793</v>
      </c>
      <c r="F130" s="1859" t="s">
        <v>2518</v>
      </c>
      <c r="G130" s="1859" t="s">
        <v>22</v>
      </c>
      <c r="H130" s="1859" t="s">
        <v>22</v>
      </c>
      <c r="I130" s="1859" t="s">
        <v>910</v>
      </c>
    </row>
    <row customHeight="1" ht="11.25">
      <c r="A131" s="1859" t="s">
        <v>2335</v>
      </c>
      <c r="B131" s="1859" t="s">
        <v>16</v>
      </c>
      <c r="C131" s="1859" t="s">
        <v>2794</v>
      </c>
      <c r="D131" s="1859" t="s">
        <v>2795</v>
      </c>
      <c r="E131" s="1859" t="s">
        <v>2796</v>
      </c>
      <c r="F131" s="1859" t="s">
        <v>2469</v>
      </c>
      <c r="G131" s="1859" t="s">
        <v>2797</v>
      </c>
      <c r="H131" s="1859" t="s">
        <v>22</v>
      </c>
      <c r="I131" s="1859" t="s">
        <v>910</v>
      </c>
    </row>
    <row customHeight="1" ht="11.25">
      <c r="A132" s="1859" t="s">
        <v>2335</v>
      </c>
      <c r="B132" s="1859" t="s">
        <v>16</v>
      </c>
      <c r="C132" s="1859" t="s">
        <v>2798</v>
      </c>
      <c r="D132" s="1859" t="s">
        <v>2799</v>
      </c>
      <c r="E132" s="1859" t="s">
        <v>2800</v>
      </c>
      <c r="F132" s="1859" t="s">
        <v>2364</v>
      </c>
      <c r="G132" s="1859" t="s">
        <v>22</v>
      </c>
      <c r="H132" s="1859" t="s">
        <v>22</v>
      </c>
      <c r="I132" s="1859" t="s">
        <v>910</v>
      </c>
    </row>
    <row customHeight="1" ht="11.25">
      <c r="A133" s="1859" t="s">
        <v>2335</v>
      </c>
      <c r="B133" s="1859" t="s">
        <v>16</v>
      </c>
      <c r="C133" s="1859" t="s">
        <v>2801</v>
      </c>
      <c r="D133" s="1859" t="s">
        <v>2802</v>
      </c>
      <c r="E133" s="1859" t="s">
        <v>2803</v>
      </c>
      <c r="F133" s="1859" t="s">
        <v>2804</v>
      </c>
      <c r="G133" s="1859" t="s">
        <v>22</v>
      </c>
      <c r="H133" s="1859" t="s">
        <v>22</v>
      </c>
      <c r="I133" s="1859" t="s">
        <v>910</v>
      </c>
    </row>
    <row customHeight="1" ht="11.25">
      <c r="A134" s="1859" t="s">
        <v>2335</v>
      </c>
      <c r="B134" s="1859" t="s">
        <v>16</v>
      </c>
      <c r="C134" s="1859" t="s">
        <v>2805</v>
      </c>
      <c r="D134" s="1859" t="s">
        <v>2806</v>
      </c>
      <c r="E134" s="1859" t="s">
        <v>2807</v>
      </c>
      <c r="F134" s="1859" t="s">
        <v>2518</v>
      </c>
      <c r="G134" s="1859" t="s">
        <v>22</v>
      </c>
      <c r="H134" s="1859" t="s">
        <v>22</v>
      </c>
      <c r="I134" s="1859" t="s">
        <v>910</v>
      </c>
    </row>
    <row customHeight="1" ht="11.25">
      <c r="A135" s="1859" t="s">
        <v>2335</v>
      </c>
      <c r="B135" s="1859" t="s">
        <v>16</v>
      </c>
      <c r="C135" s="1859" t="s">
        <v>2808</v>
      </c>
      <c r="D135" s="1859" t="s">
        <v>2809</v>
      </c>
      <c r="E135" s="1859" t="s">
        <v>2810</v>
      </c>
      <c r="F135" s="1859" t="s">
        <v>2518</v>
      </c>
      <c r="G135" s="1859" t="s">
        <v>22</v>
      </c>
      <c r="H135" s="1859" t="s">
        <v>22</v>
      </c>
      <c r="I135" s="1859" t="s">
        <v>910</v>
      </c>
    </row>
    <row customHeight="1" ht="11.25">
      <c r="A136" s="1859" t="s">
        <v>2335</v>
      </c>
      <c r="B136" s="1859" t="s">
        <v>16</v>
      </c>
      <c r="C136" s="1859" t="s">
        <v>2811</v>
      </c>
      <c r="D136" s="1859" t="s">
        <v>2812</v>
      </c>
      <c r="E136" s="1859" t="s">
        <v>2813</v>
      </c>
      <c r="F136" s="1859" t="s">
        <v>2349</v>
      </c>
      <c r="G136" s="1859" t="s">
        <v>22</v>
      </c>
      <c r="H136" s="1859" t="s">
        <v>22</v>
      </c>
      <c r="I136" s="1859" t="s">
        <v>910</v>
      </c>
    </row>
    <row customHeight="1" ht="11.25">
      <c r="A137" s="1859" t="s">
        <v>2335</v>
      </c>
      <c r="B137" s="1859" t="s">
        <v>16</v>
      </c>
      <c r="C137" s="1859" t="s">
        <v>2814</v>
      </c>
      <c r="D137" s="1859" t="s">
        <v>2815</v>
      </c>
      <c r="E137" s="1859" t="s">
        <v>2816</v>
      </c>
      <c r="F137" s="1859" t="s">
        <v>2658</v>
      </c>
      <c r="G137" s="1859" t="s">
        <v>22</v>
      </c>
      <c r="H137" s="1859" t="s">
        <v>22</v>
      </c>
      <c r="I137" s="1859" t="s">
        <v>910</v>
      </c>
    </row>
    <row customHeight="1" ht="11.25">
      <c r="A138" s="1859" t="s">
        <v>2335</v>
      </c>
      <c r="B138" s="1859" t="s">
        <v>16</v>
      </c>
      <c r="C138" s="1859" t="s">
        <v>2817</v>
      </c>
      <c r="D138" s="1859" t="s">
        <v>2818</v>
      </c>
      <c r="E138" s="1859" t="s">
        <v>2819</v>
      </c>
      <c r="F138" s="1859" t="s">
        <v>2455</v>
      </c>
      <c r="G138" s="1859" t="s">
        <v>22</v>
      </c>
      <c r="H138" s="1859" t="s">
        <v>22</v>
      </c>
      <c r="I138" s="1859" t="s">
        <v>910</v>
      </c>
    </row>
    <row customHeight="1" ht="11.25">
      <c r="A139" s="1859" t="s">
        <v>2335</v>
      </c>
      <c r="B139" s="1859" t="s">
        <v>16</v>
      </c>
      <c r="C139" s="1859" t="s">
        <v>2820</v>
      </c>
      <c r="D139" s="1859" t="s">
        <v>2821</v>
      </c>
      <c r="E139" s="1859" t="s">
        <v>2822</v>
      </c>
      <c r="F139" s="1859" t="s">
        <v>2576</v>
      </c>
      <c r="G139" s="1859" t="s">
        <v>22</v>
      </c>
      <c r="H139" s="1859" t="s">
        <v>22</v>
      </c>
      <c r="I139" s="1859" t="s">
        <v>910</v>
      </c>
    </row>
    <row customHeight="1" ht="11.25">
      <c r="A140" s="1859" t="s">
        <v>2335</v>
      </c>
      <c r="B140" s="1859" t="s">
        <v>16</v>
      </c>
      <c r="C140" s="1859" t="s">
        <v>2823</v>
      </c>
      <c r="D140" s="1859" t="s">
        <v>2824</v>
      </c>
      <c r="E140" s="1859" t="s">
        <v>2825</v>
      </c>
      <c r="F140" s="1859" t="s">
        <v>2465</v>
      </c>
      <c r="G140" s="1859" t="s">
        <v>22</v>
      </c>
      <c r="H140" s="1859" t="s">
        <v>22</v>
      </c>
      <c r="I140" s="1859" t="s">
        <v>910</v>
      </c>
    </row>
    <row customHeight="1" ht="11.25">
      <c r="A141" s="1859" t="s">
        <v>2335</v>
      </c>
      <c r="B141" s="1859" t="s">
        <v>16</v>
      </c>
      <c r="C141" s="1859" t="s">
        <v>2826</v>
      </c>
      <c r="D141" s="1859" t="s">
        <v>2827</v>
      </c>
      <c r="E141" s="1859" t="s">
        <v>2828</v>
      </c>
      <c r="F141" s="1859" t="s">
        <v>2372</v>
      </c>
      <c r="G141" s="1859" t="s">
        <v>2529</v>
      </c>
      <c r="H141" s="1859" t="s">
        <v>22</v>
      </c>
      <c r="I141" s="1859" t="s">
        <v>910</v>
      </c>
    </row>
    <row customHeight="1" ht="11.25">
      <c r="A142" s="1859" t="s">
        <v>2335</v>
      </c>
      <c r="B142" s="1859" t="s">
        <v>16</v>
      </c>
      <c r="C142" s="1859" t="s">
        <v>2829</v>
      </c>
      <c r="D142" s="1859" t="s">
        <v>2830</v>
      </c>
      <c r="E142" s="1859" t="s">
        <v>2831</v>
      </c>
      <c r="F142" s="1859" t="s">
        <v>2832</v>
      </c>
      <c r="G142" s="1859" t="s">
        <v>22</v>
      </c>
      <c r="H142" s="1859" t="s">
        <v>22</v>
      </c>
      <c r="I142" s="1859" t="s">
        <v>910</v>
      </c>
    </row>
    <row customHeight="1" ht="11.25">
      <c r="A143" s="1859" t="s">
        <v>2335</v>
      </c>
      <c r="B143" s="1859" t="s">
        <v>16</v>
      </c>
      <c r="C143" s="1859" t="s">
        <v>2833</v>
      </c>
      <c r="D143" s="1859" t="s">
        <v>2834</v>
      </c>
      <c r="E143" s="1859" t="s">
        <v>2684</v>
      </c>
      <c r="F143" s="1859" t="s">
        <v>2835</v>
      </c>
      <c r="G143" s="1859" t="s">
        <v>22</v>
      </c>
      <c r="H143" s="1859" t="s">
        <v>22</v>
      </c>
      <c r="I143" s="1859" t="s">
        <v>910</v>
      </c>
    </row>
    <row customHeight="1" ht="11.25">
      <c r="A144" s="1859" t="s">
        <v>2335</v>
      </c>
      <c r="B144" s="1859" t="s">
        <v>16</v>
      </c>
      <c r="C144" s="1859" t="s">
        <v>2836</v>
      </c>
      <c r="D144" s="1859" t="s">
        <v>2837</v>
      </c>
      <c r="E144" s="1859" t="s">
        <v>2684</v>
      </c>
      <c r="F144" s="1859" t="s">
        <v>2838</v>
      </c>
      <c r="G144" s="1859" t="s">
        <v>22</v>
      </c>
      <c r="H144" s="1859" t="s">
        <v>22</v>
      </c>
      <c r="I144" s="1859" t="s">
        <v>910</v>
      </c>
    </row>
    <row customHeight="1" ht="11.25">
      <c r="A145" s="1859" t="s">
        <v>2335</v>
      </c>
      <c r="B145" s="1859" t="s">
        <v>16</v>
      </c>
      <c r="C145" s="1859" t="s">
        <v>2839</v>
      </c>
      <c r="D145" s="1859" t="s">
        <v>2840</v>
      </c>
      <c r="E145" s="1859" t="s">
        <v>2684</v>
      </c>
      <c r="F145" s="1859" t="s">
        <v>2841</v>
      </c>
      <c r="G145" s="1859" t="s">
        <v>22</v>
      </c>
      <c r="H145" s="1859" t="s">
        <v>22</v>
      </c>
      <c r="I145" s="1859" t="s">
        <v>910</v>
      </c>
    </row>
    <row customHeight="1" ht="11.25">
      <c r="A146" s="1859" t="s">
        <v>2335</v>
      </c>
      <c r="B146" s="1859" t="s">
        <v>16</v>
      </c>
      <c r="C146" s="1859" t="s">
        <v>2842</v>
      </c>
      <c r="D146" s="1859" t="s">
        <v>2843</v>
      </c>
      <c r="E146" s="1859" t="s">
        <v>2844</v>
      </c>
      <c r="F146" s="1859" t="s">
        <v>2455</v>
      </c>
      <c r="G146" s="1859" t="s">
        <v>22</v>
      </c>
      <c r="H146" s="1859" t="s">
        <v>22</v>
      </c>
      <c r="I146" s="1859" t="s">
        <v>910</v>
      </c>
    </row>
    <row customHeight="1" ht="11.25">
      <c r="A147" s="1859" t="s">
        <v>2335</v>
      </c>
      <c r="B147" s="1859" t="s">
        <v>16</v>
      </c>
      <c r="C147" s="1859" t="s">
        <v>2845</v>
      </c>
      <c r="D147" s="1859" t="s">
        <v>2846</v>
      </c>
      <c r="E147" s="1859" t="s">
        <v>2847</v>
      </c>
      <c r="F147" s="1859" t="s">
        <v>2402</v>
      </c>
      <c r="G147" s="1859" t="s">
        <v>22</v>
      </c>
      <c r="H147" s="1859" t="s">
        <v>22</v>
      </c>
      <c r="I147" s="1859" t="s">
        <v>910</v>
      </c>
    </row>
    <row customHeight="1" ht="11.25">
      <c r="A148" s="1859" t="s">
        <v>2335</v>
      </c>
      <c r="B148" s="1859" t="s">
        <v>16</v>
      </c>
      <c r="C148" s="1859" t="s">
        <v>2848</v>
      </c>
      <c r="D148" s="1859" t="s">
        <v>2849</v>
      </c>
      <c r="E148" s="1859" t="s">
        <v>2850</v>
      </c>
      <c r="F148" s="1859" t="s">
        <v>2372</v>
      </c>
      <c r="G148" s="1859" t="s">
        <v>22</v>
      </c>
      <c r="H148" s="1859" t="s">
        <v>22</v>
      </c>
      <c r="I148" s="1859" t="s">
        <v>910</v>
      </c>
    </row>
    <row customHeight="1" ht="11.25">
      <c r="A149" s="1859" t="s">
        <v>2335</v>
      </c>
      <c r="B149" s="1859" t="s">
        <v>16</v>
      </c>
      <c r="C149" s="1859" t="s">
        <v>2851</v>
      </c>
      <c r="D149" s="1859" t="s">
        <v>2852</v>
      </c>
      <c r="E149" s="1859" t="s">
        <v>2853</v>
      </c>
      <c r="F149" s="1859" t="s">
        <v>2586</v>
      </c>
      <c r="G149" s="1859" t="s">
        <v>22</v>
      </c>
      <c r="H149" s="1859" t="s">
        <v>22</v>
      </c>
      <c r="I149" s="1859" t="s">
        <v>910</v>
      </c>
    </row>
    <row customHeight="1" ht="11.25">
      <c r="A150" s="1859" t="s">
        <v>2335</v>
      </c>
      <c r="B150" s="1859" t="s">
        <v>16</v>
      </c>
      <c r="C150" s="1859" t="s">
        <v>2854</v>
      </c>
      <c r="D150" s="1859" t="s">
        <v>2855</v>
      </c>
      <c r="E150" s="1859" t="s">
        <v>2856</v>
      </c>
      <c r="F150" s="1859" t="s">
        <v>2372</v>
      </c>
      <c r="G150" s="1859" t="s">
        <v>22</v>
      </c>
      <c r="H150" s="1859" t="s">
        <v>22</v>
      </c>
      <c r="I150" s="1859" t="s">
        <v>910</v>
      </c>
    </row>
    <row customHeight="1" ht="11.25">
      <c r="A151" s="1859" t="s">
        <v>2335</v>
      </c>
      <c r="B151" s="1859" t="s">
        <v>16</v>
      </c>
      <c r="C151" s="1859" t="s">
        <v>2857</v>
      </c>
      <c r="D151" s="1859" t="s">
        <v>2858</v>
      </c>
      <c r="E151" s="1859" t="s">
        <v>2859</v>
      </c>
      <c r="F151" s="1859" t="s">
        <v>2513</v>
      </c>
      <c r="G151" s="1859" t="s">
        <v>22</v>
      </c>
      <c r="H151" s="1859" t="s">
        <v>22</v>
      </c>
      <c r="I151" s="1859" t="s">
        <v>910</v>
      </c>
    </row>
    <row customHeight="1" ht="11.25">
      <c r="A152" s="1859" t="s">
        <v>2335</v>
      </c>
      <c r="B152" s="1859" t="s">
        <v>16</v>
      </c>
      <c r="C152" s="1859" t="s">
        <v>2860</v>
      </c>
      <c r="D152" s="1859" t="s">
        <v>2861</v>
      </c>
      <c r="E152" s="1859" t="s">
        <v>2862</v>
      </c>
      <c r="F152" s="1859" t="s">
        <v>2372</v>
      </c>
      <c r="G152" s="1859" t="s">
        <v>2529</v>
      </c>
      <c r="H152" s="1859" t="s">
        <v>22</v>
      </c>
      <c r="I152" s="1859" t="s">
        <v>910</v>
      </c>
    </row>
    <row customHeight="1" ht="11.25">
      <c r="A153" s="1859" t="s">
        <v>2335</v>
      </c>
      <c r="B153" s="1859" t="s">
        <v>16</v>
      </c>
      <c r="C153" s="1859" t="s">
        <v>2863</v>
      </c>
      <c r="D153" s="1859" t="s">
        <v>2864</v>
      </c>
      <c r="E153" s="1859" t="s">
        <v>2865</v>
      </c>
      <c r="F153" s="1859" t="s">
        <v>2372</v>
      </c>
      <c r="G153" s="1859" t="s">
        <v>22</v>
      </c>
      <c r="H153" s="1859" t="s">
        <v>22</v>
      </c>
      <c r="I153" s="1859" t="s">
        <v>910</v>
      </c>
    </row>
    <row customHeight="1" ht="11.25">
      <c r="A154" s="1859" t="s">
        <v>2335</v>
      </c>
      <c r="B154" s="1859" t="s">
        <v>16</v>
      </c>
      <c r="C154" s="1859" t="s">
        <v>2866</v>
      </c>
      <c r="D154" s="1859" t="s">
        <v>2867</v>
      </c>
      <c r="E154" s="1859" t="s">
        <v>2868</v>
      </c>
      <c r="F154" s="1859" t="s">
        <v>2469</v>
      </c>
      <c r="G154" s="1859" t="s">
        <v>22</v>
      </c>
      <c r="H154" s="1859" t="s">
        <v>22</v>
      </c>
      <c r="I154" s="1859" t="s">
        <v>910</v>
      </c>
    </row>
    <row customHeight="1" ht="11.25">
      <c r="A155" s="1859" t="s">
        <v>2335</v>
      </c>
      <c r="B155" s="1859" t="s">
        <v>16</v>
      </c>
      <c r="C155" s="1859" t="s">
        <v>2869</v>
      </c>
      <c r="D155" s="1859" t="s">
        <v>2870</v>
      </c>
      <c r="E155" s="1859" t="s">
        <v>2871</v>
      </c>
      <c r="F155" s="1859" t="s">
        <v>2576</v>
      </c>
      <c r="G155" s="1859" t="s">
        <v>22</v>
      </c>
      <c r="H155" s="1859" t="s">
        <v>22</v>
      </c>
      <c r="I155" s="1859" t="s">
        <v>910</v>
      </c>
    </row>
    <row customHeight="1" ht="11.25">
      <c r="A156" s="1859" t="s">
        <v>2335</v>
      </c>
      <c r="B156" s="1859" t="s">
        <v>16</v>
      </c>
      <c r="C156" s="1859" t="s">
        <v>2872</v>
      </c>
      <c r="D156" s="1859" t="s">
        <v>2873</v>
      </c>
      <c r="E156" s="1859" t="s">
        <v>2874</v>
      </c>
      <c r="F156" s="1859" t="s">
        <v>2586</v>
      </c>
      <c r="G156" s="1859" t="s">
        <v>22</v>
      </c>
      <c r="H156" s="1859" t="s">
        <v>22</v>
      </c>
      <c r="I156" s="1859" t="s">
        <v>910</v>
      </c>
    </row>
    <row customHeight="1" ht="11.25">
      <c r="A157" s="1859" t="s">
        <v>2335</v>
      </c>
      <c r="B157" s="1859" t="s">
        <v>16</v>
      </c>
      <c r="C157" s="1859" t="s">
        <v>2875</v>
      </c>
      <c r="D157" s="1859" t="s">
        <v>2876</v>
      </c>
      <c r="E157" s="1859" t="s">
        <v>2877</v>
      </c>
      <c r="F157" s="1859" t="s">
        <v>2364</v>
      </c>
      <c r="G157" s="1859" t="s">
        <v>22</v>
      </c>
      <c r="H157" s="1859" t="s">
        <v>22</v>
      </c>
      <c r="I157" s="1859" t="s">
        <v>910</v>
      </c>
    </row>
    <row customHeight="1" ht="11.25">
      <c r="A158" s="1859" t="s">
        <v>2335</v>
      </c>
      <c r="B158" s="1859" t="s">
        <v>16</v>
      </c>
      <c r="C158" s="1859" t="s">
        <v>2878</v>
      </c>
      <c r="D158" s="1859" t="s">
        <v>2879</v>
      </c>
      <c r="E158" s="1859" t="s">
        <v>2880</v>
      </c>
      <c r="F158" s="1859" t="s">
        <v>2455</v>
      </c>
      <c r="G158" s="1859" t="s">
        <v>22</v>
      </c>
      <c r="H158" s="1859" t="s">
        <v>22</v>
      </c>
      <c r="I158" s="1859" t="s">
        <v>910</v>
      </c>
    </row>
    <row customHeight="1" ht="11.25">
      <c r="A159" s="1859" t="s">
        <v>2335</v>
      </c>
      <c r="B159" s="1859" t="s">
        <v>16</v>
      </c>
      <c r="C159" s="1859" t="s">
        <v>2881</v>
      </c>
      <c r="D159" s="1859" t="s">
        <v>2882</v>
      </c>
      <c r="E159" s="1859" t="s">
        <v>2883</v>
      </c>
      <c r="F159" s="1859" t="s">
        <v>2349</v>
      </c>
      <c r="G159" s="1859" t="s">
        <v>22</v>
      </c>
      <c r="H159" s="1859" t="s">
        <v>22</v>
      </c>
      <c r="I159" s="1859" t="s">
        <v>910</v>
      </c>
    </row>
    <row customHeight="1" ht="11.25">
      <c r="A160" s="1859" t="s">
        <v>2335</v>
      </c>
      <c r="B160" s="1859" t="s">
        <v>16</v>
      </c>
      <c r="C160" s="1859" t="s">
        <v>2884</v>
      </c>
      <c r="D160" s="1859" t="s">
        <v>2885</v>
      </c>
      <c r="E160" s="1859" t="s">
        <v>2886</v>
      </c>
      <c r="F160" s="1859" t="s">
        <v>2414</v>
      </c>
      <c r="G160" s="1859" t="s">
        <v>22</v>
      </c>
      <c r="H160" s="1859" t="s">
        <v>22</v>
      </c>
      <c r="I160" s="1859" t="s">
        <v>910</v>
      </c>
    </row>
    <row customHeight="1" ht="11.25">
      <c r="A161" s="1859" t="s">
        <v>2335</v>
      </c>
      <c r="B161" s="1859" t="s">
        <v>16</v>
      </c>
      <c r="C161" s="1859" t="s">
        <v>2887</v>
      </c>
      <c r="D161" s="1859" t="s">
        <v>2888</v>
      </c>
      <c r="E161" s="1859" t="s">
        <v>2889</v>
      </c>
      <c r="F161" s="1859" t="s">
        <v>2372</v>
      </c>
      <c r="G161" s="1859" t="s">
        <v>22</v>
      </c>
      <c r="H161" s="1859" t="s">
        <v>22</v>
      </c>
      <c r="I161" s="1859" t="s">
        <v>910</v>
      </c>
    </row>
    <row customHeight="1" ht="11.25">
      <c r="A162" s="1859" t="s">
        <v>2335</v>
      </c>
      <c r="B162" s="1859" t="s">
        <v>16</v>
      </c>
      <c r="C162" s="1859" t="s">
        <v>2890</v>
      </c>
      <c r="D162" s="1859" t="s">
        <v>2891</v>
      </c>
      <c r="E162" s="1859" t="s">
        <v>2892</v>
      </c>
      <c r="F162" s="1859" t="s">
        <v>2576</v>
      </c>
      <c r="G162" s="1859" t="s">
        <v>22</v>
      </c>
      <c r="H162" s="1859" t="s">
        <v>22</v>
      </c>
      <c r="I162" s="1859" t="s">
        <v>910</v>
      </c>
    </row>
    <row customHeight="1" ht="11.25">
      <c r="A163" s="1859" t="s">
        <v>2335</v>
      </c>
      <c r="B163" s="1859" t="s">
        <v>16</v>
      </c>
      <c r="C163" s="1859" t="s">
        <v>2893</v>
      </c>
      <c r="D163" s="1859" t="s">
        <v>2894</v>
      </c>
      <c r="E163" s="1859" t="s">
        <v>2895</v>
      </c>
      <c r="F163" s="1859" t="s">
        <v>2349</v>
      </c>
      <c r="G163" s="1859" t="s">
        <v>2712</v>
      </c>
      <c r="H163" s="1859" t="s">
        <v>22</v>
      </c>
      <c r="I163" s="1859" t="s">
        <v>910</v>
      </c>
    </row>
    <row customHeight="1" ht="11.25">
      <c r="A164" s="1859" t="s">
        <v>2335</v>
      </c>
      <c r="B164" s="1859" t="s">
        <v>16</v>
      </c>
      <c r="C164" s="1859" t="s">
        <v>2896</v>
      </c>
      <c r="D164" s="1859" t="s">
        <v>2897</v>
      </c>
      <c r="E164" s="1859" t="s">
        <v>2898</v>
      </c>
      <c r="F164" s="1859" t="s">
        <v>2518</v>
      </c>
      <c r="G164" s="1859" t="s">
        <v>22</v>
      </c>
      <c r="H164" s="1859" t="s">
        <v>22</v>
      </c>
      <c r="I164" s="1859" t="s">
        <v>910</v>
      </c>
    </row>
    <row customHeight="1" ht="11.25">
      <c r="A165" s="1859" t="s">
        <v>2335</v>
      </c>
      <c r="B165" s="1859" t="s">
        <v>16</v>
      </c>
      <c r="C165" s="1859" t="s">
        <v>2899</v>
      </c>
      <c r="D165" s="1859" t="s">
        <v>2900</v>
      </c>
      <c r="E165" s="1859" t="s">
        <v>2901</v>
      </c>
      <c r="F165" s="1859" t="s">
        <v>2518</v>
      </c>
      <c r="G165" s="1859" t="s">
        <v>22</v>
      </c>
      <c r="H165" s="1859" t="s">
        <v>22</v>
      </c>
      <c r="I165" s="1859" t="s">
        <v>910</v>
      </c>
    </row>
    <row customHeight="1" ht="11.25">
      <c r="A166" s="1859" t="s">
        <v>2335</v>
      </c>
      <c r="B166" s="1859" t="s">
        <v>16</v>
      </c>
      <c r="C166" s="1859" t="s">
        <v>2902</v>
      </c>
      <c r="D166" s="1859" t="s">
        <v>2903</v>
      </c>
      <c r="E166" s="1859" t="s">
        <v>2904</v>
      </c>
      <c r="F166" s="1859" t="s">
        <v>2473</v>
      </c>
      <c r="G166" s="1859" t="s">
        <v>22</v>
      </c>
      <c r="H166" s="1859" t="s">
        <v>22</v>
      </c>
      <c r="I166" s="1859" t="s">
        <v>910</v>
      </c>
    </row>
    <row customHeight="1" ht="11.25">
      <c r="A167" s="1859" t="s">
        <v>2335</v>
      </c>
      <c r="B167" s="1859" t="s">
        <v>16</v>
      </c>
      <c r="C167" s="1859" t="s">
        <v>2905</v>
      </c>
      <c r="D167" s="1859" t="s">
        <v>2906</v>
      </c>
      <c r="E167" s="1859" t="s">
        <v>2907</v>
      </c>
      <c r="F167" s="1859" t="s">
        <v>2402</v>
      </c>
      <c r="G167" s="1859" t="s">
        <v>2908</v>
      </c>
      <c r="H167" s="1859" t="s">
        <v>22</v>
      </c>
      <c r="I167" s="1859" t="s">
        <v>910</v>
      </c>
    </row>
    <row customHeight="1" ht="11.25">
      <c r="A168" s="1859" t="s">
        <v>2335</v>
      </c>
      <c r="B168" s="1859" t="s">
        <v>16</v>
      </c>
      <c r="C168" s="1859" t="s">
        <v>2909</v>
      </c>
      <c r="D168" s="1859" t="s">
        <v>2910</v>
      </c>
      <c r="E168" s="1859" t="s">
        <v>2911</v>
      </c>
      <c r="F168" s="1859" t="s">
        <v>2372</v>
      </c>
      <c r="G168" s="1859" t="s">
        <v>22</v>
      </c>
      <c r="H168" s="1859" t="s">
        <v>22</v>
      </c>
      <c r="I168" s="1859" t="s">
        <v>910</v>
      </c>
    </row>
    <row customHeight="1" ht="11.25">
      <c r="A169" s="1859" t="s">
        <v>2335</v>
      </c>
      <c r="B169" s="1859" t="s">
        <v>16</v>
      </c>
      <c r="C169" s="1859" t="s">
        <v>2912</v>
      </c>
      <c r="D169" s="1859" t="s">
        <v>2913</v>
      </c>
      <c r="E169" s="1859" t="s">
        <v>2914</v>
      </c>
      <c r="F169" s="1859" t="s">
        <v>2469</v>
      </c>
      <c r="G169" s="1859" t="s">
        <v>2915</v>
      </c>
      <c r="H169" s="1859" t="s">
        <v>22</v>
      </c>
      <c r="I169" s="1859" t="s">
        <v>910</v>
      </c>
    </row>
    <row customHeight="1" ht="11.25">
      <c r="A170" s="1859" t="s">
        <v>2335</v>
      </c>
      <c r="B170" s="1859" t="s">
        <v>16</v>
      </c>
      <c r="C170" s="1859" t="s">
        <v>2916</v>
      </c>
      <c r="D170" s="1859" t="s">
        <v>2917</v>
      </c>
      <c r="E170" s="1859" t="s">
        <v>2918</v>
      </c>
      <c r="F170" s="1859" t="s">
        <v>2919</v>
      </c>
      <c r="G170" s="1859" t="s">
        <v>22</v>
      </c>
      <c r="H170" s="1859" t="s">
        <v>22</v>
      </c>
      <c r="I170" s="1859" t="s">
        <v>910</v>
      </c>
    </row>
    <row customHeight="1" ht="11.25">
      <c r="A171" s="1859" t="s">
        <v>2335</v>
      </c>
      <c r="B171" s="1859" t="s">
        <v>16</v>
      </c>
      <c r="C171" s="1859" t="s">
        <v>2920</v>
      </c>
      <c r="D171" s="1859" t="s">
        <v>2921</v>
      </c>
      <c r="E171" s="1859" t="s">
        <v>2922</v>
      </c>
      <c r="F171" s="1859" t="s">
        <v>2923</v>
      </c>
      <c r="G171" s="1859" t="s">
        <v>22</v>
      </c>
      <c r="H171" s="1859" t="s">
        <v>22</v>
      </c>
      <c r="I171" s="1859" t="s">
        <v>910</v>
      </c>
    </row>
    <row customHeight="1" ht="11.25">
      <c r="A172" s="1859" t="s">
        <v>2335</v>
      </c>
      <c r="B172" s="1859" t="s">
        <v>16</v>
      </c>
      <c r="C172" s="1859" t="s">
        <v>2924</v>
      </c>
      <c r="D172" s="1859" t="s">
        <v>2925</v>
      </c>
      <c r="E172" s="1859" t="s">
        <v>2926</v>
      </c>
      <c r="F172" s="1859" t="s">
        <v>2658</v>
      </c>
      <c r="G172" s="1859" t="s">
        <v>22</v>
      </c>
      <c r="H172" s="1859" t="s">
        <v>22</v>
      </c>
      <c r="I172" s="1859" t="s">
        <v>910</v>
      </c>
    </row>
    <row customHeight="1" ht="11.25">
      <c r="A173" s="1859" t="s">
        <v>2335</v>
      </c>
      <c r="B173" s="1859" t="s">
        <v>16</v>
      </c>
      <c r="C173" s="1859" t="s">
        <v>2927</v>
      </c>
      <c r="D173" s="1859" t="s">
        <v>2928</v>
      </c>
      <c r="E173" s="1859" t="s">
        <v>2929</v>
      </c>
      <c r="F173" s="1859" t="s">
        <v>2658</v>
      </c>
      <c r="G173" s="1859" t="s">
        <v>22</v>
      </c>
      <c r="H173" s="1859" t="s">
        <v>22</v>
      </c>
      <c r="I173" s="1859" t="s">
        <v>910</v>
      </c>
    </row>
    <row customHeight="1" ht="11.25">
      <c r="A174" s="1859" t="s">
        <v>2335</v>
      </c>
      <c r="B174" s="1859" t="s">
        <v>16</v>
      </c>
      <c r="C174" s="1859" t="s">
        <v>2930</v>
      </c>
      <c r="D174" s="1859" t="s">
        <v>2931</v>
      </c>
      <c r="E174" s="1859" t="s">
        <v>2932</v>
      </c>
      <c r="F174" s="1859" t="s">
        <v>2658</v>
      </c>
      <c r="G174" s="1859" t="s">
        <v>22</v>
      </c>
      <c r="H174" s="1859" t="s">
        <v>22</v>
      </c>
      <c r="I174" s="1859" t="s">
        <v>910</v>
      </c>
    </row>
    <row customHeight="1" ht="11.25">
      <c r="A175" s="1859" t="s">
        <v>2335</v>
      </c>
      <c r="B175" s="1859" t="s">
        <v>16</v>
      </c>
      <c r="C175" s="1859" t="s">
        <v>2933</v>
      </c>
      <c r="D175" s="1859" t="s">
        <v>2934</v>
      </c>
      <c r="E175" s="1859" t="s">
        <v>2935</v>
      </c>
      <c r="F175" s="1859" t="s">
        <v>2641</v>
      </c>
      <c r="G175" s="1859" t="s">
        <v>22</v>
      </c>
      <c r="H175" s="1859" t="s">
        <v>22</v>
      </c>
      <c r="I175" s="1859" t="s">
        <v>910</v>
      </c>
    </row>
    <row customHeight="1" ht="11.25">
      <c r="A176" s="1859" t="s">
        <v>2335</v>
      </c>
      <c r="B176" s="1859" t="s">
        <v>16</v>
      </c>
      <c r="C176" s="1859" t="s">
        <v>2936</v>
      </c>
      <c r="D176" s="1859" t="s">
        <v>2937</v>
      </c>
      <c r="E176" s="1859" t="s">
        <v>2938</v>
      </c>
      <c r="F176" s="1859" t="s">
        <v>2513</v>
      </c>
      <c r="G176" s="1859" t="s">
        <v>22</v>
      </c>
      <c r="H176" s="1859" t="s">
        <v>22</v>
      </c>
      <c r="I176" s="1859" t="s">
        <v>910</v>
      </c>
    </row>
    <row customHeight="1" ht="11.25">
      <c r="A177" s="1859" t="s">
        <v>2335</v>
      </c>
      <c r="B177" s="1859" t="s">
        <v>16</v>
      </c>
      <c r="C177" s="1859" t="s">
        <v>2939</v>
      </c>
      <c r="D177" s="1859" t="s">
        <v>2940</v>
      </c>
      <c r="E177" s="1859" t="s">
        <v>2941</v>
      </c>
      <c r="F177" s="1859" t="s">
        <v>2942</v>
      </c>
      <c r="G177" s="1859" t="s">
        <v>2943</v>
      </c>
      <c r="H177" s="1859" t="s">
        <v>22</v>
      </c>
      <c r="I177" s="1859" t="s">
        <v>910</v>
      </c>
    </row>
    <row customHeight="1" ht="11.25">
      <c r="A178" s="1859" t="s">
        <v>2335</v>
      </c>
      <c r="B178" s="1859" t="s">
        <v>16</v>
      </c>
      <c r="C178" s="1859" t="s">
        <v>2944</v>
      </c>
      <c r="D178" s="1859" t="s">
        <v>2945</v>
      </c>
      <c r="E178" s="1859" t="s">
        <v>2946</v>
      </c>
      <c r="F178" s="1859" t="s">
        <v>2349</v>
      </c>
      <c r="G178" s="1859" t="s">
        <v>2947</v>
      </c>
      <c r="H178" s="1859" t="s">
        <v>22</v>
      </c>
      <c r="I178" s="1859" t="s">
        <v>910</v>
      </c>
    </row>
    <row customHeight="1" ht="11.25">
      <c r="A179" s="1859" t="s">
        <v>2335</v>
      </c>
      <c r="B179" s="1859" t="s">
        <v>16</v>
      </c>
      <c r="C179" s="1859" t="s">
        <v>2948</v>
      </c>
      <c r="D179" s="1859" t="s">
        <v>2949</v>
      </c>
      <c r="E179" s="1859" t="s">
        <v>2950</v>
      </c>
      <c r="F179" s="1859" t="s">
        <v>2586</v>
      </c>
      <c r="G179" s="1859" t="s">
        <v>22</v>
      </c>
      <c r="H179" s="1859" t="s">
        <v>22</v>
      </c>
      <c r="I179" s="1859" t="s">
        <v>910</v>
      </c>
    </row>
    <row customHeight="1" ht="11.25">
      <c r="A180" s="1859" t="s">
        <v>2335</v>
      </c>
      <c r="B180" s="1859" t="s">
        <v>16</v>
      </c>
      <c r="C180" s="1859" t="s">
        <v>2951</v>
      </c>
      <c r="D180" s="1859" t="s">
        <v>2952</v>
      </c>
      <c r="E180" s="1859" t="s">
        <v>2953</v>
      </c>
      <c r="F180" s="1859" t="s">
        <v>2942</v>
      </c>
      <c r="G180" s="1859" t="s">
        <v>22</v>
      </c>
      <c r="H180" s="1859" t="s">
        <v>22</v>
      </c>
      <c r="I180" s="1859" t="s">
        <v>910</v>
      </c>
    </row>
    <row customHeight="1" ht="11.25">
      <c r="A181" s="1859" t="s">
        <v>2335</v>
      </c>
      <c r="B181" s="1859" t="s">
        <v>16</v>
      </c>
      <c r="C181" s="1859" t="s">
        <v>2954</v>
      </c>
      <c r="D181" s="1859" t="s">
        <v>2955</v>
      </c>
      <c r="E181" s="1859" t="s">
        <v>2956</v>
      </c>
      <c r="F181" s="1859" t="s">
        <v>2406</v>
      </c>
      <c r="G181" s="1859" t="s">
        <v>22</v>
      </c>
      <c r="H181" s="1859" t="s">
        <v>22</v>
      </c>
      <c r="I181" s="1859" t="s">
        <v>910</v>
      </c>
    </row>
    <row customHeight="1" ht="11.25">
      <c r="A182" s="1859" t="s">
        <v>2335</v>
      </c>
      <c r="B182" s="1859" t="s">
        <v>16</v>
      </c>
      <c r="C182" s="1859" t="s">
        <v>2957</v>
      </c>
      <c r="D182" s="1859" t="s">
        <v>2958</v>
      </c>
      <c r="E182" s="1859" t="s">
        <v>2959</v>
      </c>
      <c r="F182" s="1859" t="s">
        <v>2473</v>
      </c>
      <c r="G182" s="1859" t="s">
        <v>22</v>
      </c>
      <c r="H182" s="1859" t="s">
        <v>22</v>
      </c>
      <c r="I182" s="1859" t="s">
        <v>910</v>
      </c>
    </row>
    <row customHeight="1" ht="11.25">
      <c r="A183" s="1859" t="s">
        <v>2335</v>
      </c>
      <c r="B183" s="1859" t="s">
        <v>16</v>
      </c>
      <c r="C183" s="1859" t="s">
        <v>2960</v>
      </c>
      <c r="D183" s="1859" t="s">
        <v>2961</v>
      </c>
      <c r="E183" s="1859" t="s">
        <v>2962</v>
      </c>
      <c r="F183" s="1859" t="s">
        <v>2942</v>
      </c>
      <c r="G183" s="1859" t="s">
        <v>22</v>
      </c>
      <c r="H183" s="1859" t="s">
        <v>22</v>
      </c>
      <c r="I183" s="1859" t="s">
        <v>910</v>
      </c>
    </row>
    <row customHeight="1" ht="11.25">
      <c r="A184" s="1859" t="s">
        <v>2335</v>
      </c>
      <c r="B184" s="1859" t="s">
        <v>16</v>
      </c>
      <c r="C184" s="1859" t="s">
        <v>2963</v>
      </c>
      <c r="D184" s="1859" t="s">
        <v>2964</v>
      </c>
      <c r="E184" s="1859" t="s">
        <v>2965</v>
      </c>
      <c r="F184" s="1859" t="s">
        <v>2942</v>
      </c>
      <c r="G184" s="1859" t="s">
        <v>22</v>
      </c>
      <c r="H184" s="1859" t="s">
        <v>22</v>
      </c>
      <c r="I184" s="1859" t="s">
        <v>910</v>
      </c>
    </row>
    <row customHeight="1" ht="11.25">
      <c r="A185" s="1859" t="s">
        <v>2335</v>
      </c>
      <c r="B185" s="1859" t="s">
        <v>16</v>
      </c>
      <c r="C185" s="1859" t="s">
        <v>2966</v>
      </c>
      <c r="D185" s="1859" t="s">
        <v>2967</v>
      </c>
      <c r="E185" s="1859" t="s">
        <v>2968</v>
      </c>
      <c r="F185" s="1859" t="s">
        <v>2406</v>
      </c>
      <c r="G185" s="1859" t="s">
        <v>22</v>
      </c>
      <c r="H185" s="1859" t="s">
        <v>22</v>
      </c>
      <c r="I185" s="1859" t="s">
        <v>910</v>
      </c>
    </row>
    <row customHeight="1" ht="11.25">
      <c r="A186" s="1859" t="s">
        <v>2335</v>
      </c>
      <c r="B186" s="1859" t="s">
        <v>16</v>
      </c>
      <c r="C186" s="1859" t="s">
        <v>2969</v>
      </c>
      <c r="D186" s="1859" t="s">
        <v>2970</v>
      </c>
      <c r="E186" s="1859" t="s">
        <v>2971</v>
      </c>
      <c r="F186" s="1859" t="s">
        <v>2364</v>
      </c>
      <c r="G186" s="1859" t="s">
        <v>22</v>
      </c>
      <c r="H186" s="1859" t="s">
        <v>22</v>
      </c>
      <c r="I186" s="1859" t="s">
        <v>910</v>
      </c>
    </row>
    <row customHeight="1" ht="11.25">
      <c r="A187" s="1859" t="s">
        <v>2335</v>
      </c>
      <c r="B187" s="1859" t="s">
        <v>16</v>
      </c>
      <c r="C187" s="1859" t="s">
        <v>2972</v>
      </c>
      <c r="D187" s="1859" t="s">
        <v>2973</v>
      </c>
      <c r="E187" s="1859" t="s">
        <v>2500</v>
      </c>
      <c r="F187" s="1859" t="s">
        <v>2410</v>
      </c>
      <c r="G187" s="1859" t="s">
        <v>22</v>
      </c>
      <c r="H187" s="1859" t="s">
        <v>22</v>
      </c>
      <c r="I187" s="1859" t="s">
        <v>910</v>
      </c>
    </row>
    <row customHeight="1" ht="11.25">
      <c r="A188" s="1859" t="s">
        <v>2335</v>
      </c>
      <c r="B188" s="1859" t="s">
        <v>16</v>
      </c>
      <c r="C188" s="1859" t="s">
        <v>2974</v>
      </c>
      <c r="D188" s="1859" t="s">
        <v>2975</v>
      </c>
      <c r="E188" s="1859" t="s">
        <v>2976</v>
      </c>
      <c r="F188" s="1859" t="s">
        <v>2977</v>
      </c>
      <c r="G188" s="1859" t="s">
        <v>22</v>
      </c>
      <c r="H188" s="1859" t="s">
        <v>22</v>
      </c>
      <c r="I188" s="1859" t="s">
        <v>910</v>
      </c>
    </row>
    <row customHeight="1" ht="11.25">
      <c r="A189" s="1859" t="s">
        <v>2335</v>
      </c>
      <c r="B189" s="1859" t="s">
        <v>16</v>
      </c>
      <c r="C189" s="1859" t="s">
        <v>2978</v>
      </c>
      <c r="D189" s="1859" t="s">
        <v>2979</v>
      </c>
      <c r="E189" s="1859" t="s">
        <v>2980</v>
      </c>
      <c r="F189" s="1859" t="s">
        <v>2981</v>
      </c>
      <c r="G189" s="1859" t="s">
        <v>22</v>
      </c>
      <c r="H189" s="1859" t="s">
        <v>22</v>
      </c>
      <c r="I189" s="1859" t="s">
        <v>910</v>
      </c>
    </row>
    <row customHeight="1" ht="11.25">
      <c r="A190" s="1859" t="s">
        <v>2335</v>
      </c>
      <c r="B190" s="1859" t="s">
        <v>16</v>
      </c>
      <c r="C190" s="1859" t="s">
        <v>2982</v>
      </c>
      <c r="D190" s="1859" t="s">
        <v>2983</v>
      </c>
      <c r="E190" s="1859" t="s">
        <v>2435</v>
      </c>
      <c r="F190" s="1859" t="s">
        <v>2984</v>
      </c>
      <c r="G190" s="1859" t="s">
        <v>22</v>
      </c>
      <c r="H190" s="1859" t="s">
        <v>22</v>
      </c>
      <c r="I190" s="1859" t="s">
        <v>910</v>
      </c>
    </row>
    <row customHeight="1" ht="11.25">
      <c r="A191" s="1859" t="s">
        <v>2335</v>
      </c>
      <c r="B191" s="1859" t="s">
        <v>16</v>
      </c>
      <c r="C191" s="1859" t="s">
        <v>2985</v>
      </c>
      <c r="D191" s="1859" t="s">
        <v>2986</v>
      </c>
      <c r="E191" s="1859" t="s">
        <v>2987</v>
      </c>
      <c r="F191" s="1859" t="s">
        <v>2988</v>
      </c>
      <c r="G191" s="1859" t="s">
        <v>22</v>
      </c>
      <c r="H191" s="1859" t="s">
        <v>22</v>
      </c>
      <c r="I191" s="1859" t="s">
        <v>910</v>
      </c>
    </row>
    <row customHeight="1" ht="11.25">
      <c r="A192" s="1859" t="s">
        <v>2335</v>
      </c>
      <c r="B192" s="1859" t="s">
        <v>16</v>
      </c>
      <c r="C192" s="1859" t="s">
        <v>2989</v>
      </c>
      <c r="D192" s="1859" t="s">
        <v>2990</v>
      </c>
      <c r="E192" s="1859" t="s">
        <v>2991</v>
      </c>
      <c r="F192" s="1859" t="s">
        <v>2992</v>
      </c>
      <c r="G192" s="1859" t="s">
        <v>22</v>
      </c>
      <c r="H192" s="1859" t="s">
        <v>22</v>
      </c>
      <c r="I192" s="1859" t="s">
        <v>910</v>
      </c>
    </row>
    <row customHeight="1" ht="11.25">
      <c r="A193" s="1859" t="s">
        <v>2335</v>
      </c>
      <c r="B193" s="1859" t="s">
        <v>16</v>
      </c>
      <c r="C193" s="1859" t="s">
        <v>2350</v>
      </c>
      <c r="D193" s="1859" t="s">
        <v>2351</v>
      </c>
      <c r="E193" s="1859" t="s">
        <v>2352</v>
      </c>
      <c r="F193" s="1859" t="s">
        <v>2349</v>
      </c>
      <c r="G193" s="1859" t="s">
        <v>22</v>
      </c>
      <c r="H193" s="1859" t="s">
        <v>22</v>
      </c>
      <c r="I193" s="1859" t="s">
        <v>996</v>
      </c>
    </row>
    <row customHeight="1" ht="11.25">
      <c r="A194" s="1859" t="s">
        <v>2335</v>
      </c>
      <c r="B194" s="1859" t="s">
        <v>16</v>
      </c>
      <c r="C194" s="1859" t="s">
        <v>2353</v>
      </c>
      <c r="D194" s="1859" t="s">
        <v>2354</v>
      </c>
      <c r="E194" s="1859" t="s">
        <v>2355</v>
      </c>
      <c r="F194" s="1859" t="s">
        <v>2356</v>
      </c>
      <c r="G194" s="1859" t="s">
        <v>22</v>
      </c>
      <c r="H194" s="1859" t="s">
        <v>22</v>
      </c>
      <c r="I194" s="1859" t="s">
        <v>996</v>
      </c>
    </row>
    <row customHeight="1" ht="11.25">
      <c r="A195" s="1859" t="s">
        <v>2335</v>
      </c>
      <c r="B195" s="1859" t="s">
        <v>16</v>
      </c>
      <c r="C195" s="1859" t="s">
        <v>2369</v>
      </c>
      <c r="D195" s="1859" t="s">
        <v>2370</v>
      </c>
      <c r="E195" s="1859" t="s">
        <v>2371</v>
      </c>
      <c r="F195" s="1859" t="s">
        <v>2372</v>
      </c>
      <c r="G195" s="1859" t="s">
        <v>22</v>
      </c>
      <c r="H195" s="1859" t="s">
        <v>22</v>
      </c>
      <c r="I195" s="1859" t="s">
        <v>996</v>
      </c>
    </row>
    <row customHeight="1" ht="11.25">
      <c r="A196" s="1859" t="s">
        <v>2335</v>
      </c>
      <c r="B196" s="1859" t="s">
        <v>16</v>
      </c>
      <c r="C196" s="1859" t="s">
        <v>2373</v>
      </c>
      <c r="D196" s="1859" t="s">
        <v>2374</v>
      </c>
      <c r="E196" s="1859" t="s">
        <v>2375</v>
      </c>
      <c r="F196" s="1859" t="s">
        <v>2376</v>
      </c>
      <c r="G196" s="1859" t="s">
        <v>22</v>
      </c>
      <c r="H196" s="1859" t="s">
        <v>22</v>
      </c>
      <c r="I196" s="1859" t="s">
        <v>996</v>
      </c>
    </row>
    <row customHeight="1" ht="11.25">
      <c r="A197" s="1859" t="s">
        <v>2335</v>
      </c>
      <c r="B197" s="1859" t="s">
        <v>16</v>
      </c>
      <c r="C197" s="1859" t="s">
        <v>2422</v>
      </c>
      <c r="D197" s="1859" t="s">
        <v>2423</v>
      </c>
      <c r="E197" s="1859" t="s">
        <v>2424</v>
      </c>
      <c r="F197" s="1859" t="s">
        <v>2425</v>
      </c>
      <c r="G197" s="1859" t="s">
        <v>22</v>
      </c>
      <c r="H197" s="1859" t="s">
        <v>22</v>
      </c>
      <c r="I197" s="1859" t="s">
        <v>996</v>
      </c>
    </row>
    <row customHeight="1" ht="11.25">
      <c r="A198" s="1859" t="s">
        <v>2335</v>
      </c>
      <c r="B198" s="1859" t="s">
        <v>16</v>
      </c>
      <c r="C198" s="1859" t="s">
        <v>2440</v>
      </c>
      <c r="D198" s="1859" t="s">
        <v>2441</v>
      </c>
      <c r="E198" s="1859" t="s">
        <v>2442</v>
      </c>
      <c r="F198" s="1859" t="s">
        <v>2429</v>
      </c>
      <c r="G198" s="1859" t="s">
        <v>22</v>
      </c>
      <c r="H198" s="1859" t="s">
        <v>22</v>
      </c>
      <c r="I198" s="1859" t="s">
        <v>996</v>
      </c>
    </row>
    <row customHeight="1" ht="11.25">
      <c r="A199" s="1859" t="s">
        <v>2335</v>
      </c>
      <c r="B199" s="1859" t="s">
        <v>16</v>
      </c>
      <c r="C199" s="1859" t="s">
        <v>2446</v>
      </c>
      <c r="D199" s="1859" t="s">
        <v>2447</v>
      </c>
      <c r="E199" s="1859" t="s">
        <v>2448</v>
      </c>
      <c r="F199" s="1859" t="s">
        <v>2364</v>
      </c>
      <c r="G199" s="1859" t="s">
        <v>22</v>
      </c>
      <c r="H199" s="1859" t="s">
        <v>22</v>
      </c>
      <c r="I199" s="1859" t="s">
        <v>996</v>
      </c>
    </row>
    <row customHeight="1" ht="11.25">
      <c r="A200" s="1859" t="s">
        <v>2335</v>
      </c>
      <c r="B200" s="1859" t="s">
        <v>16</v>
      </c>
      <c r="C200" s="1859" t="s">
        <v>22</v>
      </c>
      <c r="D200" s="1859" t="s">
        <v>2456</v>
      </c>
      <c r="E200" s="1859" t="s">
        <v>2457</v>
      </c>
      <c r="F200" s="1859" t="s">
        <v>2349</v>
      </c>
      <c r="G200" s="1859" t="s">
        <v>22</v>
      </c>
      <c r="H200" s="1859" t="s">
        <v>22</v>
      </c>
      <c r="I200" s="1859" t="s">
        <v>996</v>
      </c>
    </row>
    <row customHeight="1" ht="11.25">
      <c r="A201" s="1859" t="s">
        <v>2335</v>
      </c>
      <c r="B201" s="1859" t="s">
        <v>16</v>
      </c>
      <c r="C201" s="1859" t="s">
        <v>2470</v>
      </c>
      <c r="D201" s="1859" t="s">
        <v>2471</v>
      </c>
      <c r="E201" s="1859" t="s">
        <v>2472</v>
      </c>
      <c r="F201" s="1859" t="s">
        <v>2473</v>
      </c>
      <c r="G201" s="1859" t="s">
        <v>2474</v>
      </c>
      <c r="H201" s="1859" t="s">
        <v>22</v>
      </c>
      <c r="I201" s="1859" t="s">
        <v>996</v>
      </c>
    </row>
    <row customHeight="1" ht="11.25">
      <c r="A202" s="1859" t="s">
        <v>2335</v>
      </c>
      <c r="B202" s="1859" t="s">
        <v>16</v>
      </c>
      <c r="C202" s="1859" t="s">
        <v>2475</v>
      </c>
      <c r="D202" s="1859" t="s">
        <v>2476</v>
      </c>
      <c r="E202" s="1859" t="s">
        <v>2477</v>
      </c>
      <c r="F202" s="1859" t="s">
        <v>2406</v>
      </c>
      <c r="G202" s="1859" t="s">
        <v>22</v>
      </c>
      <c r="H202" s="1859" t="s">
        <v>22</v>
      </c>
      <c r="I202" s="1859" t="s">
        <v>996</v>
      </c>
    </row>
    <row customHeight="1" ht="11.25">
      <c r="A203" s="1859" t="s">
        <v>2335</v>
      </c>
      <c r="B203" s="1859" t="s">
        <v>16</v>
      </c>
      <c r="C203" s="1859" t="s">
        <v>2488</v>
      </c>
      <c r="D203" s="1859" t="s">
        <v>2489</v>
      </c>
      <c r="E203" s="1859" t="s">
        <v>2490</v>
      </c>
      <c r="F203" s="1859" t="s">
        <v>648</v>
      </c>
      <c r="G203" s="1859" t="s">
        <v>22</v>
      </c>
      <c r="H203" s="1859" t="s">
        <v>22</v>
      </c>
      <c r="I203" s="1859" t="s">
        <v>996</v>
      </c>
    </row>
    <row customHeight="1" ht="11.25">
      <c r="A204" s="1859" t="s">
        <v>2335</v>
      </c>
      <c r="B204" s="1859" t="s">
        <v>16</v>
      </c>
      <c r="C204" s="1859" t="s">
        <v>2495</v>
      </c>
      <c r="D204" s="1859" t="s">
        <v>2496</v>
      </c>
      <c r="E204" s="1859" t="s">
        <v>2497</v>
      </c>
      <c r="F204" s="1859" t="s">
        <v>648</v>
      </c>
      <c r="G204" s="1859" t="s">
        <v>22</v>
      </c>
      <c r="H204" s="1859" t="s">
        <v>22</v>
      </c>
      <c r="I204" s="1859" t="s">
        <v>996</v>
      </c>
    </row>
    <row customHeight="1" ht="11.25">
      <c r="A205" s="1859" t="s">
        <v>2335</v>
      </c>
      <c r="B205" s="1859" t="s">
        <v>16</v>
      </c>
      <c r="C205" s="1859" t="s">
        <v>2498</v>
      </c>
      <c r="D205" s="1859" t="s">
        <v>2499</v>
      </c>
      <c r="E205" s="1859" t="s">
        <v>2500</v>
      </c>
      <c r="F205" s="1859" t="s">
        <v>2501</v>
      </c>
      <c r="G205" s="1859" t="s">
        <v>2502</v>
      </c>
      <c r="H205" s="1859" t="s">
        <v>22</v>
      </c>
      <c r="I205" s="1859" t="s">
        <v>996</v>
      </c>
    </row>
    <row customHeight="1" ht="11.25">
      <c r="A206" s="1859" t="s">
        <v>2335</v>
      </c>
      <c r="B206" s="1859" t="s">
        <v>16</v>
      </c>
      <c r="C206" s="1859" t="s">
        <v>2507</v>
      </c>
      <c r="D206" s="1859" t="s">
        <v>2508</v>
      </c>
      <c r="E206" s="1859" t="s">
        <v>2460</v>
      </c>
      <c r="F206" s="1859" t="s">
        <v>2509</v>
      </c>
      <c r="G206" s="1859" t="s">
        <v>22</v>
      </c>
      <c r="H206" s="1859" t="s">
        <v>22</v>
      </c>
      <c r="I206" s="1859" t="s">
        <v>996</v>
      </c>
    </row>
    <row customHeight="1" ht="11.25">
      <c r="A207" s="1859" t="s">
        <v>2335</v>
      </c>
      <c r="B207" s="1859" t="s">
        <v>16</v>
      </c>
      <c r="C207" s="1859" t="s">
        <v>2533</v>
      </c>
      <c r="D207" s="1859" t="s">
        <v>2534</v>
      </c>
      <c r="E207" s="1859" t="s">
        <v>2535</v>
      </c>
      <c r="F207" s="1859" t="s">
        <v>2518</v>
      </c>
      <c r="G207" s="1859" t="s">
        <v>22</v>
      </c>
      <c r="H207" s="1859" t="s">
        <v>22</v>
      </c>
      <c r="I207" s="1859" t="s">
        <v>996</v>
      </c>
    </row>
    <row customHeight="1" ht="11.25">
      <c r="A208" s="1859" t="s">
        <v>2335</v>
      </c>
      <c r="B208" s="1859" t="s">
        <v>16</v>
      </c>
      <c r="C208" s="1859" t="s">
        <v>2544</v>
      </c>
      <c r="D208" s="1859" t="s">
        <v>2545</v>
      </c>
      <c r="E208" s="1859" t="s">
        <v>2546</v>
      </c>
      <c r="F208" s="1859" t="s">
        <v>2349</v>
      </c>
      <c r="G208" s="1859" t="s">
        <v>22</v>
      </c>
      <c r="H208" s="1859" t="s">
        <v>22</v>
      </c>
      <c r="I208" s="1859" t="s">
        <v>996</v>
      </c>
    </row>
    <row customHeight="1" ht="11.25">
      <c r="A209" s="1859" t="s">
        <v>2335</v>
      </c>
      <c r="B209" s="1859" t="s">
        <v>16</v>
      </c>
      <c r="C209" s="1859" t="s">
        <v>2547</v>
      </c>
      <c r="D209" s="1859" t="s">
        <v>2548</v>
      </c>
      <c r="E209" s="1859" t="s">
        <v>2549</v>
      </c>
      <c r="F209" s="1859" t="s">
        <v>51</v>
      </c>
      <c r="G209" s="1859" t="s">
        <v>2550</v>
      </c>
      <c r="H209" s="1859" t="s">
        <v>22</v>
      </c>
      <c r="I209" s="1859" t="s">
        <v>996</v>
      </c>
    </row>
    <row customHeight="1" ht="11.25">
      <c r="A210" s="1859" t="s">
        <v>2335</v>
      </c>
      <c r="B210" s="1859" t="s">
        <v>16</v>
      </c>
      <c r="C210" s="1859" t="s">
        <v>2551</v>
      </c>
      <c r="D210" s="1859" t="s">
        <v>2552</v>
      </c>
      <c r="E210" s="1859" t="s">
        <v>2553</v>
      </c>
      <c r="F210" s="1859" t="s">
        <v>2518</v>
      </c>
      <c r="G210" s="1859" t="s">
        <v>22</v>
      </c>
      <c r="H210" s="1859" t="s">
        <v>22</v>
      </c>
      <c r="I210" s="1859" t="s">
        <v>996</v>
      </c>
    </row>
    <row customHeight="1" ht="11.25">
      <c r="A211" s="1859" t="s">
        <v>2335</v>
      </c>
      <c r="B211" s="1859" t="s">
        <v>16</v>
      </c>
      <c r="C211" s="1859" t="s">
        <v>2566</v>
      </c>
      <c r="D211" s="1859" t="s">
        <v>2567</v>
      </c>
      <c r="E211" s="1859" t="s">
        <v>2568</v>
      </c>
      <c r="F211" s="1859" t="s">
        <v>2395</v>
      </c>
      <c r="G211" s="1859" t="s">
        <v>2569</v>
      </c>
      <c r="H211" s="1859" t="s">
        <v>22</v>
      </c>
      <c r="I211" s="1859" t="s">
        <v>996</v>
      </c>
    </row>
    <row customHeight="1" ht="11.25">
      <c r="A212" s="1859" t="s">
        <v>2335</v>
      </c>
      <c r="B212" s="1859" t="s">
        <v>16</v>
      </c>
      <c r="C212" s="1859" t="s">
        <v>2570</v>
      </c>
      <c r="D212" s="1859" t="s">
        <v>2571</v>
      </c>
      <c r="E212" s="1859" t="s">
        <v>2572</v>
      </c>
      <c r="F212" s="1859" t="s">
        <v>2395</v>
      </c>
      <c r="G212" s="1859" t="s">
        <v>22</v>
      </c>
      <c r="H212" s="1859" t="s">
        <v>22</v>
      </c>
      <c r="I212" s="1859" t="s">
        <v>996</v>
      </c>
    </row>
    <row customHeight="1" ht="11.25">
      <c r="A213" s="1859" t="s">
        <v>2335</v>
      </c>
      <c r="B213" s="1859" t="s">
        <v>16</v>
      </c>
      <c r="C213" s="1859" t="s">
        <v>2583</v>
      </c>
      <c r="D213" s="1859" t="s">
        <v>2584</v>
      </c>
      <c r="E213" s="1859" t="s">
        <v>2585</v>
      </c>
      <c r="F213" s="1859" t="s">
        <v>2586</v>
      </c>
      <c r="G213" s="1859" t="s">
        <v>22</v>
      </c>
      <c r="H213" s="1859" t="s">
        <v>22</v>
      </c>
      <c r="I213" s="1859" t="s">
        <v>996</v>
      </c>
    </row>
    <row customHeight="1" ht="11.25">
      <c r="A214" s="1859" t="s">
        <v>2335</v>
      </c>
      <c r="B214" s="1859" t="s">
        <v>16</v>
      </c>
      <c r="C214" s="1859" t="s">
        <v>2587</v>
      </c>
      <c r="D214" s="1859" t="s">
        <v>2588</v>
      </c>
      <c r="E214" s="1859" t="s">
        <v>2589</v>
      </c>
      <c r="F214" s="1859" t="s">
        <v>2586</v>
      </c>
      <c r="G214" s="1859" t="s">
        <v>22</v>
      </c>
      <c r="H214" s="1859" t="s">
        <v>22</v>
      </c>
      <c r="I214" s="1859" t="s">
        <v>996</v>
      </c>
    </row>
    <row customHeight="1" ht="11.25">
      <c r="A215" s="1859" t="s">
        <v>2335</v>
      </c>
      <c r="B215" s="1859" t="s">
        <v>16</v>
      </c>
      <c r="C215" s="1859" t="s">
        <v>2596</v>
      </c>
      <c r="D215" s="1859" t="s">
        <v>2597</v>
      </c>
      <c r="E215" s="1859" t="s">
        <v>2598</v>
      </c>
      <c r="F215" s="1859" t="s">
        <v>2518</v>
      </c>
      <c r="G215" s="1859" t="s">
        <v>22</v>
      </c>
      <c r="H215" s="1859" t="s">
        <v>22</v>
      </c>
      <c r="I215" s="1859" t="s">
        <v>996</v>
      </c>
    </row>
    <row customHeight="1" ht="11.25">
      <c r="A216" s="1859" t="s">
        <v>2335</v>
      </c>
      <c r="B216" s="1859" t="s">
        <v>16</v>
      </c>
      <c r="C216" s="1859" t="s">
        <v>2627</v>
      </c>
      <c r="D216" s="1859" t="s">
        <v>2628</v>
      </c>
      <c r="E216" s="1859" t="s">
        <v>2629</v>
      </c>
      <c r="F216" s="1859" t="s">
        <v>2469</v>
      </c>
      <c r="G216" s="1859" t="s">
        <v>22</v>
      </c>
      <c r="H216" s="1859" t="s">
        <v>2630</v>
      </c>
      <c r="I216" s="1859" t="s">
        <v>996</v>
      </c>
    </row>
    <row customHeight="1" ht="11.25">
      <c r="A217" s="1859" t="s">
        <v>2335</v>
      </c>
      <c r="B217" s="1859" t="s">
        <v>16</v>
      </c>
      <c r="C217" s="1859" t="s">
        <v>2635</v>
      </c>
      <c r="D217" s="1859" t="s">
        <v>2636</v>
      </c>
      <c r="E217" s="1859" t="s">
        <v>2637</v>
      </c>
      <c r="F217" s="1859" t="s">
        <v>2586</v>
      </c>
      <c r="G217" s="1859" t="s">
        <v>22</v>
      </c>
      <c r="H217" s="1859" t="s">
        <v>22</v>
      </c>
      <c r="I217" s="1859" t="s">
        <v>996</v>
      </c>
    </row>
    <row customHeight="1" ht="11.25">
      <c r="A218" s="1859" t="s">
        <v>2335</v>
      </c>
      <c r="B218" s="1859" t="s">
        <v>16</v>
      </c>
      <c r="C218" s="1859" t="s">
        <v>2993</v>
      </c>
      <c r="D218" s="1859" t="s">
        <v>2994</v>
      </c>
      <c r="E218" s="1859" t="s">
        <v>2995</v>
      </c>
      <c r="F218" s="1859" t="s">
        <v>2518</v>
      </c>
      <c r="G218" s="1859" t="s">
        <v>22</v>
      </c>
      <c r="H218" s="1859" t="s">
        <v>22</v>
      </c>
      <c r="I218" s="1859" t="s">
        <v>996</v>
      </c>
    </row>
    <row customHeight="1" ht="11.25">
      <c r="A219" s="1859" t="s">
        <v>2335</v>
      </c>
      <c r="B219" s="1859" t="s">
        <v>16</v>
      </c>
      <c r="C219" s="1859" t="s">
        <v>2675</v>
      </c>
      <c r="D219" s="1859" t="s">
        <v>2676</v>
      </c>
      <c r="E219" s="1859" t="s">
        <v>2677</v>
      </c>
      <c r="F219" s="1859" t="s">
        <v>2455</v>
      </c>
      <c r="G219" s="1859" t="s">
        <v>22</v>
      </c>
      <c r="H219" s="1859" t="s">
        <v>22</v>
      </c>
      <c r="I219" s="1859" t="s">
        <v>996</v>
      </c>
    </row>
    <row customHeight="1" ht="11.25">
      <c r="A220" s="1859" t="s">
        <v>2335</v>
      </c>
      <c r="B220" s="1859" t="s">
        <v>16</v>
      </c>
      <c r="C220" s="1859" t="s">
        <v>2689</v>
      </c>
      <c r="D220" s="1859" t="s">
        <v>2690</v>
      </c>
      <c r="E220" s="1859" t="s">
        <v>2691</v>
      </c>
      <c r="F220" s="1859" t="s">
        <v>2410</v>
      </c>
      <c r="G220" s="1859" t="s">
        <v>22</v>
      </c>
      <c r="H220" s="1859" t="s">
        <v>22</v>
      </c>
      <c r="I220" s="1859" t="s">
        <v>996</v>
      </c>
    </row>
    <row customHeight="1" ht="11.25">
      <c r="A221" s="1859" t="s">
        <v>2335</v>
      </c>
      <c r="B221" s="1859" t="s">
        <v>16</v>
      </c>
      <c r="C221" s="1859" t="s">
        <v>2702</v>
      </c>
      <c r="D221" s="1859" t="s">
        <v>2703</v>
      </c>
      <c r="E221" s="1859" t="s">
        <v>2704</v>
      </c>
      <c r="F221" s="1859" t="s">
        <v>2473</v>
      </c>
      <c r="G221" s="1859" t="s">
        <v>22</v>
      </c>
      <c r="H221" s="1859" t="s">
        <v>22</v>
      </c>
      <c r="I221" s="1859" t="s">
        <v>996</v>
      </c>
    </row>
    <row customHeight="1" ht="11.25">
      <c r="A222" s="1859" t="s">
        <v>2335</v>
      </c>
      <c r="B222" s="1859" t="s">
        <v>16</v>
      </c>
      <c r="C222" s="1859" t="s">
        <v>2709</v>
      </c>
      <c r="D222" s="1859" t="s">
        <v>2710</v>
      </c>
      <c r="E222" s="1859" t="s">
        <v>2711</v>
      </c>
      <c r="F222" s="1859" t="s">
        <v>2586</v>
      </c>
      <c r="G222" s="1859" t="s">
        <v>2712</v>
      </c>
      <c r="H222" s="1859" t="s">
        <v>22</v>
      </c>
      <c r="I222" s="1859" t="s">
        <v>996</v>
      </c>
    </row>
    <row customHeight="1" ht="11.25">
      <c r="A223" s="1859" t="s">
        <v>2335</v>
      </c>
      <c r="B223" s="1859" t="s">
        <v>16</v>
      </c>
      <c r="C223" s="1859" t="s">
        <v>2717</v>
      </c>
      <c r="D223" s="1859" t="s">
        <v>2718</v>
      </c>
      <c r="E223" s="1859" t="s">
        <v>2719</v>
      </c>
      <c r="F223" s="1859" t="s">
        <v>2658</v>
      </c>
      <c r="G223" s="1859" t="s">
        <v>2720</v>
      </c>
      <c r="H223" s="1859" t="s">
        <v>22</v>
      </c>
      <c r="I223" s="1859" t="s">
        <v>996</v>
      </c>
    </row>
    <row customHeight="1" ht="11.25">
      <c r="A224" s="1859" t="s">
        <v>2335</v>
      </c>
      <c r="B224" s="1859" t="s">
        <v>16</v>
      </c>
      <c r="C224" s="1859" t="s">
        <v>2724</v>
      </c>
      <c r="D224" s="1859" t="s">
        <v>2725</v>
      </c>
      <c r="E224" s="1859" t="s">
        <v>2726</v>
      </c>
      <c r="F224" s="1859" t="s">
        <v>2455</v>
      </c>
      <c r="G224" s="1859" t="s">
        <v>22</v>
      </c>
      <c r="H224" s="1859" t="s">
        <v>22</v>
      </c>
      <c r="I224" s="1859" t="s">
        <v>996</v>
      </c>
    </row>
    <row customHeight="1" ht="11.25">
      <c r="A225" s="1859" t="s">
        <v>2335</v>
      </c>
      <c r="B225" s="1859" t="s">
        <v>16</v>
      </c>
      <c r="C225" s="1859" t="s">
        <v>2743</v>
      </c>
      <c r="D225" s="1859" t="s">
        <v>2744</v>
      </c>
      <c r="E225" s="1859" t="s">
        <v>2745</v>
      </c>
      <c r="F225" s="1859" t="s">
        <v>2402</v>
      </c>
      <c r="G225" s="1859" t="s">
        <v>2746</v>
      </c>
      <c r="H225" s="1859" t="s">
        <v>22</v>
      </c>
      <c r="I225" s="1859" t="s">
        <v>996</v>
      </c>
    </row>
    <row customHeight="1" ht="11.25">
      <c r="A226" s="1859" t="s">
        <v>2335</v>
      </c>
      <c r="B226" s="1859" t="s">
        <v>16</v>
      </c>
      <c r="C226" s="1859" t="s">
        <v>2747</v>
      </c>
      <c r="D226" s="1859" t="s">
        <v>2748</v>
      </c>
      <c r="E226" s="1859" t="s">
        <v>2749</v>
      </c>
      <c r="F226" s="1859" t="s">
        <v>2560</v>
      </c>
      <c r="G226" s="1859" t="s">
        <v>2750</v>
      </c>
      <c r="H226" s="1859" t="s">
        <v>22</v>
      </c>
      <c r="I226" s="1859" t="s">
        <v>996</v>
      </c>
    </row>
    <row customHeight="1" ht="11.25">
      <c r="A227" s="1859" t="s">
        <v>2335</v>
      </c>
      <c r="B227" s="1859" t="s">
        <v>16</v>
      </c>
      <c r="C227" s="1859" t="s">
        <v>13</v>
      </c>
      <c r="D227" s="1859" t="s">
        <v>46</v>
      </c>
      <c r="E227" s="1859" t="s">
        <v>49</v>
      </c>
      <c r="F227" s="1859" t="s">
        <v>51</v>
      </c>
      <c r="G227" s="1859" t="s">
        <v>2751</v>
      </c>
      <c r="H227" s="1859" t="s">
        <v>22</v>
      </c>
      <c r="I227" s="1859" t="s">
        <v>996</v>
      </c>
    </row>
    <row customHeight="1" ht="11.25">
      <c r="A228" s="1859" t="s">
        <v>2335</v>
      </c>
      <c r="B228" s="1859" t="s">
        <v>16</v>
      </c>
      <c r="C228" s="1859" t="s">
        <v>2752</v>
      </c>
      <c r="D228" s="1859" t="s">
        <v>2753</v>
      </c>
      <c r="E228" s="1859" t="s">
        <v>2754</v>
      </c>
      <c r="F228" s="1859" t="s">
        <v>2402</v>
      </c>
      <c r="G228" s="1859" t="s">
        <v>22</v>
      </c>
      <c r="H228" s="1859" t="s">
        <v>22</v>
      </c>
      <c r="I228" s="1859" t="s">
        <v>996</v>
      </c>
    </row>
    <row customHeight="1" ht="11.25">
      <c r="A229" s="1859" t="s">
        <v>2335</v>
      </c>
      <c r="B229" s="1859" t="s">
        <v>16</v>
      </c>
      <c r="C229" s="1859" t="s">
        <v>2755</v>
      </c>
      <c r="D229" s="1859" t="s">
        <v>2756</v>
      </c>
      <c r="E229" s="1859" t="s">
        <v>2757</v>
      </c>
      <c r="F229" s="1859" t="s">
        <v>2402</v>
      </c>
      <c r="G229" s="1859" t="s">
        <v>2758</v>
      </c>
      <c r="H229" s="1859" t="s">
        <v>22</v>
      </c>
      <c r="I229" s="1859" t="s">
        <v>996</v>
      </c>
    </row>
    <row customHeight="1" ht="11.25">
      <c r="A230" s="1859" t="s">
        <v>2335</v>
      </c>
      <c r="B230" s="1859" t="s">
        <v>16</v>
      </c>
      <c r="C230" s="1859" t="s">
        <v>2762</v>
      </c>
      <c r="D230" s="1859" t="s">
        <v>2763</v>
      </c>
      <c r="E230" s="1859" t="s">
        <v>2764</v>
      </c>
      <c r="F230" s="1859" t="s">
        <v>2513</v>
      </c>
      <c r="G230" s="1859" t="s">
        <v>2765</v>
      </c>
      <c r="H230" s="1859" t="s">
        <v>22</v>
      </c>
      <c r="I230" s="1859" t="s">
        <v>996</v>
      </c>
    </row>
    <row customHeight="1" ht="11.25">
      <c r="A231" s="1859" t="s">
        <v>2335</v>
      </c>
      <c r="B231" s="1859" t="s">
        <v>16</v>
      </c>
      <c r="C231" s="1859" t="s">
        <v>2773</v>
      </c>
      <c r="D231" s="1859" t="s">
        <v>2774</v>
      </c>
      <c r="E231" s="1859" t="s">
        <v>2775</v>
      </c>
      <c r="F231" s="1859" t="s">
        <v>2455</v>
      </c>
      <c r="G231" s="1859" t="s">
        <v>2776</v>
      </c>
      <c r="H231" s="1859" t="s">
        <v>22</v>
      </c>
      <c r="I231" s="1859" t="s">
        <v>996</v>
      </c>
    </row>
    <row customHeight="1" ht="11.25">
      <c r="A232" s="1859" t="s">
        <v>2335</v>
      </c>
      <c r="B232" s="1859" t="s">
        <v>16</v>
      </c>
      <c r="C232" s="1859" t="s">
        <v>2791</v>
      </c>
      <c r="D232" s="1859" t="s">
        <v>2792</v>
      </c>
      <c r="E232" s="1859" t="s">
        <v>2793</v>
      </c>
      <c r="F232" s="1859" t="s">
        <v>2518</v>
      </c>
      <c r="G232" s="1859" t="s">
        <v>22</v>
      </c>
      <c r="H232" s="1859" t="s">
        <v>22</v>
      </c>
      <c r="I232" s="1859" t="s">
        <v>996</v>
      </c>
    </row>
    <row customHeight="1" ht="11.25">
      <c r="A233" s="1859" t="s">
        <v>2335</v>
      </c>
      <c r="B233" s="1859" t="s">
        <v>16</v>
      </c>
      <c r="C233" s="1859" t="s">
        <v>2805</v>
      </c>
      <c r="D233" s="1859" t="s">
        <v>2806</v>
      </c>
      <c r="E233" s="1859" t="s">
        <v>2807</v>
      </c>
      <c r="F233" s="1859" t="s">
        <v>2518</v>
      </c>
      <c r="G233" s="1859" t="s">
        <v>22</v>
      </c>
      <c r="H233" s="1859" t="s">
        <v>22</v>
      </c>
      <c r="I233" s="1859" t="s">
        <v>996</v>
      </c>
    </row>
    <row customHeight="1" ht="11.25">
      <c r="A234" s="1859" t="s">
        <v>2335</v>
      </c>
      <c r="B234" s="1859" t="s">
        <v>16</v>
      </c>
      <c r="C234" s="1859" t="s">
        <v>2842</v>
      </c>
      <c r="D234" s="1859" t="s">
        <v>2843</v>
      </c>
      <c r="E234" s="1859" t="s">
        <v>2844</v>
      </c>
      <c r="F234" s="1859" t="s">
        <v>2455</v>
      </c>
      <c r="G234" s="1859" t="s">
        <v>22</v>
      </c>
      <c r="H234" s="1859" t="s">
        <v>22</v>
      </c>
      <c r="I234" s="1859" t="s">
        <v>996</v>
      </c>
    </row>
    <row customHeight="1" ht="11.25">
      <c r="A235" s="1859" t="s">
        <v>2335</v>
      </c>
      <c r="B235" s="1859" t="s">
        <v>16</v>
      </c>
      <c r="C235" s="1859" t="s">
        <v>2848</v>
      </c>
      <c r="D235" s="1859" t="s">
        <v>2849</v>
      </c>
      <c r="E235" s="1859" t="s">
        <v>2850</v>
      </c>
      <c r="F235" s="1859" t="s">
        <v>2372</v>
      </c>
      <c r="G235" s="1859" t="s">
        <v>22</v>
      </c>
      <c r="H235" s="1859" t="s">
        <v>22</v>
      </c>
      <c r="I235" s="1859" t="s">
        <v>996</v>
      </c>
    </row>
    <row customHeight="1" ht="11.25">
      <c r="A236" s="1859" t="s">
        <v>2335</v>
      </c>
      <c r="B236" s="1859" t="s">
        <v>16</v>
      </c>
      <c r="C236" s="1859" t="s">
        <v>2860</v>
      </c>
      <c r="D236" s="1859" t="s">
        <v>2861</v>
      </c>
      <c r="E236" s="1859" t="s">
        <v>2862</v>
      </c>
      <c r="F236" s="1859" t="s">
        <v>2372</v>
      </c>
      <c r="G236" s="1859" t="s">
        <v>2529</v>
      </c>
      <c r="H236" s="1859" t="s">
        <v>22</v>
      </c>
      <c r="I236" s="1859" t="s">
        <v>996</v>
      </c>
    </row>
    <row customHeight="1" ht="11.25">
      <c r="A237" s="1859" t="s">
        <v>2335</v>
      </c>
      <c r="B237" s="1859" t="s">
        <v>16</v>
      </c>
      <c r="C237" s="1859" t="s">
        <v>2875</v>
      </c>
      <c r="D237" s="1859" t="s">
        <v>2876</v>
      </c>
      <c r="E237" s="1859" t="s">
        <v>2877</v>
      </c>
      <c r="F237" s="1859" t="s">
        <v>2364</v>
      </c>
      <c r="G237" s="1859" t="s">
        <v>22</v>
      </c>
      <c r="H237" s="1859" t="s">
        <v>22</v>
      </c>
      <c r="I237" s="1859" t="s">
        <v>996</v>
      </c>
    </row>
    <row customHeight="1" ht="11.25">
      <c r="A238" s="1859" t="s">
        <v>2335</v>
      </c>
      <c r="B238" s="1859" t="s">
        <v>16</v>
      </c>
      <c r="C238" s="1859" t="s">
        <v>2893</v>
      </c>
      <c r="D238" s="1859" t="s">
        <v>2894</v>
      </c>
      <c r="E238" s="1859" t="s">
        <v>2895</v>
      </c>
      <c r="F238" s="1859" t="s">
        <v>2349</v>
      </c>
      <c r="G238" s="1859" t="s">
        <v>2712</v>
      </c>
      <c r="H238" s="1859" t="s">
        <v>22</v>
      </c>
      <c r="I238" s="1859" t="s">
        <v>996</v>
      </c>
    </row>
    <row customHeight="1" ht="11.25">
      <c r="A239" s="1859" t="s">
        <v>2335</v>
      </c>
      <c r="B239" s="1859" t="s">
        <v>16</v>
      </c>
      <c r="C239" s="1859" t="s">
        <v>2899</v>
      </c>
      <c r="D239" s="1859" t="s">
        <v>2900</v>
      </c>
      <c r="E239" s="1859" t="s">
        <v>2901</v>
      </c>
      <c r="F239" s="1859" t="s">
        <v>2518</v>
      </c>
      <c r="G239" s="1859" t="s">
        <v>22</v>
      </c>
      <c r="H239" s="1859" t="s">
        <v>22</v>
      </c>
      <c r="I239" s="1859" t="s">
        <v>996</v>
      </c>
    </row>
    <row customHeight="1" ht="11.25">
      <c r="A240" s="1859" t="s">
        <v>2335</v>
      </c>
      <c r="B240" s="1859" t="s">
        <v>16</v>
      </c>
      <c r="C240" s="1859" t="s">
        <v>2905</v>
      </c>
      <c r="D240" s="1859" t="s">
        <v>2906</v>
      </c>
      <c r="E240" s="1859" t="s">
        <v>2907</v>
      </c>
      <c r="F240" s="1859" t="s">
        <v>2402</v>
      </c>
      <c r="G240" s="1859" t="s">
        <v>2908</v>
      </c>
      <c r="H240" s="1859" t="s">
        <v>22</v>
      </c>
      <c r="I240" s="1859" t="s">
        <v>996</v>
      </c>
    </row>
    <row customHeight="1" ht="11.25">
      <c r="A241" s="1859" t="s">
        <v>2335</v>
      </c>
      <c r="B241" s="1859" t="s">
        <v>16</v>
      </c>
      <c r="C241" s="1859" t="s">
        <v>2909</v>
      </c>
      <c r="D241" s="1859" t="s">
        <v>2910</v>
      </c>
      <c r="E241" s="1859" t="s">
        <v>2911</v>
      </c>
      <c r="F241" s="1859" t="s">
        <v>2372</v>
      </c>
      <c r="G241" s="1859" t="s">
        <v>22</v>
      </c>
      <c r="H241" s="1859" t="s">
        <v>22</v>
      </c>
      <c r="I241" s="1859" t="s">
        <v>996</v>
      </c>
    </row>
    <row customHeight="1" ht="11.25">
      <c r="A242" s="1859" t="s">
        <v>2335</v>
      </c>
      <c r="B242" s="1859" t="s">
        <v>16</v>
      </c>
      <c r="C242" s="1859" t="s">
        <v>2912</v>
      </c>
      <c r="D242" s="1859" t="s">
        <v>2913</v>
      </c>
      <c r="E242" s="1859" t="s">
        <v>2914</v>
      </c>
      <c r="F242" s="1859" t="s">
        <v>2469</v>
      </c>
      <c r="G242" s="1859" t="s">
        <v>2915</v>
      </c>
      <c r="H242" s="1859" t="s">
        <v>22</v>
      </c>
      <c r="I242" s="1859" t="s">
        <v>996</v>
      </c>
    </row>
    <row customHeight="1" ht="11.25">
      <c r="A243" s="1859" t="s">
        <v>2335</v>
      </c>
      <c r="B243" s="1859" t="s">
        <v>16</v>
      </c>
      <c r="C243" s="1859" t="s">
        <v>2930</v>
      </c>
      <c r="D243" s="1859" t="s">
        <v>2931</v>
      </c>
      <c r="E243" s="1859" t="s">
        <v>2932</v>
      </c>
      <c r="F243" s="1859" t="s">
        <v>2658</v>
      </c>
      <c r="G243" s="1859" t="s">
        <v>22</v>
      </c>
      <c r="H243" s="1859" t="s">
        <v>22</v>
      </c>
      <c r="I243" s="1859" t="s">
        <v>996</v>
      </c>
    </row>
    <row customHeight="1" ht="11.25">
      <c r="A244" s="1859" t="s">
        <v>2335</v>
      </c>
      <c r="B244" s="1859" t="s">
        <v>16</v>
      </c>
      <c r="C244" s="1859" t="s">
        <v>2933</v>
      </c>
      <c r="D244" s="1859" t="s">
        <v>2934</v>
      </c>
      <c r="E244" s="1859" t="s">
        <v>2935</v>
      </c>
      <c r="F244" s="1859" t="s">
        <v>2641</v>
      </c>
      <c r="G244" s="1859" t="s">
        <v>22</v>
      </c>
      <c r="H244" s="1859" t="s">
        <v>22</v>
      </c>
      <c r="I244" s="1859" t="s">
        <v>996</v>
      </c>
    </row>
    <row customHeight="1" ht="11.25">
      <c r="A245" s="1859" t="s">
        <v>2335</v>
      </c>
      <c r="B245" s="1859" t="s">
        <v>16</v>
      </c>
      <c r="C245" s="1859" t="s">
        <v>2936</v>
      </c>
      <c r="D245" s="1859" t="s">
        <v>2937</v>
      </c>
      <c r="E245" s="1859" t="s">
        <v>2938</v>
      </c>
      <c r="F245" s="1859" t="s">
        <v>2513</v>
      </c>
      <c r="G245" s="1859" t="s">
        <v>22</v>
      </c>
      <c r="H245" s="1859" t="s">
        <v>22</v>
      </c>
      <c r="I245" s="1859" t="s">
        <v>996</v>
      </c>
    </row>
    <row customHeight="1" ht="11.25">
      <c r="A246" s="1859" t="s">
        <v>2335</v>
      </c>
      <c r="B246" s="1859" t="s">
        <v>16</v>
      </c>
      <c r="C246" s="1859" t="s">
        <v>2969</v>
      </c>
      <c r="D246" s="1859" t="s">
        <v>2970</v>
      </c>
      <c r="E246" s="1859" t="s">
        <v>2971</v>
      </c>
      <c r="F246" s="1859" t="s">
        <v>2364</v>
      </c>
      <c r="G246" s="1859" t="s">
        <v>22</v>
      </c>
      <c r="H246" s="1859" t="s">
        <v>22</v>
      </c>
      <c r="I246" s="1859" t="s">
        <v>996</v>
      </c>
    </row>
    <row customHeight="1" ht="11.25">
      <c r="A247" s="1859" t="s">
        <v>2335</v>
      </c>
      <c r="B247" s="1859" t="s">
        <v>16</v>
      </c>
      <c r="C247" s="1859" t="s">
        <v>2972</v>
      </c>
      <c r="D247" s="1859" t="s">
        <v>2973</v>
      </c>
      <c r="E247" s="1859" t="s">
        <v>2500</v>
      </c>
      <c r="F247" s="1859" t="s">
        <v>2410</v>
      </c>
      <c r="G247" s="1859" t="s">
        <v>22</v>
      </c>
      <c r="H247" s="1859" t="s">
        <v>22</v>
      </c>
      <c r="I247" s="1859" t="s">
        <v>996</v>
      </c>
    </row>
    <row customHeight="1" ht="11.25">
      <c r="A248" s="1859" t="s">
        <v>2335</v>
      </c>
      <c r="B248" s="1859" t="s">
        <v>16</v>
      </c>
      <c r="C248" s="1859" t="s">
        <v>2974</v>
      </c>
      <c r="D248" s="1859" t="s">
        <v>2975</v>
      </c>
      <c r="E248" s="1859" t="s">
        <v>2976</v>
      </c>
      <c r="F248" s="1859" t="s">
        <v>2977</v>
      </c>
      <c r="G248" s="1859" t="s">
        <v>22</v>
      </c>
      <c r="H248" s="1859" t="s">
        <v>22</v>
      </c>
      <c r="I248" s="1859" t="s">
        <v>996</v>
      </c>
    </row>
    <row customHeight="1" ht="11.25">
      <c r="A249" s="1859" t="s">
        <v>2335</v>
      </c>
      <c r="B249" s="1859" t="s">
        <v>16</v>
      </c>
      <c r="C249" s="1859" t="s">
        <v>2985</v>
      </c>
      <c r="D249" s="1859" t="s">
        <v>2986</v>
      </c>
      <c r="E249" s="1859" t="s">
        <v>2987</v>
      </c>
      <c r="F249" s="1859" t="s">
        <v>2988</v>
      </c>
      <c r="G249" s="1859" t="s">
        <v>22</v>
      </c>
      <c r="H249" s="1859" t="s">
        <v>22</v>
      </c>
      <c r="I249" s="1859" t="s">
        <v>996</v>
      </c>
    </row>
    <row customHeight="1" ht="11.25">
      <c r="A250" s="1859" t="s">
        <v>2335</v>
      </c>
      <c r="B250" s="1859" t="s">
        <v>16</v>
      </c>
      <c r="C250" s="1859" t="s">
        <v>2341</v>
      </c>
      <c r="D250" s="1859" t="s">
        <v>2342</v>
      </c>
      <c r="E250" s="1859" t="s">
        <v>2343</v>
      </c>
      <c r="F250" s="1859" t="s">
        <v>2344</v>
      </c>
      <c r="G250" s="1859" t="s">
        <v>2345</v>
      </c>
      <c r="H250" s="1859" t="s">
        <v>22</v>
      </c>
      <c r="I250" s="1859" t="s">
        <v>956</v>
      </c>
    </row>
    <row customHeight="1" ht="11.25">
      <c r="A251" s="1859" t="s">
        <v>2335</v>
      </c>
      <c r="B251" s="1859" t="s">
        <v>16</v>
      </c>
      <c r="C251" s="1859" t="s">
        <v>2996</v>
      </c>
      <c r="D251" s="1859" t="s">
        <v>2997</v>
      </c>
      <c r="E251" s="1859" t="s">
        <v>2998</v>
      </c>
      <c r="F251" s="1859" t="s">
        <v>2406</v>
      </c>
      <c r="G251" s="1859" t="s">
        <v>22</v>
      </c>
      <c r="H251" s="1859" t="s">
        <v>2999</v>
      </c>
      <c r="I251" s="1859" t="s">
        <v>956</v>
      </c>
    </row>
    <row customHeight="1" ht="11.25">
      <c r="A252" s="1859" t="s">
        <v>2335</v>
      </c>
      <c r="B252" s="1859" t="s">
        <v>16</v>
      </c>
      <c r="C252" s="1859" t="s">
        <v>3000</v>
      </c>
      <c r="D252" s="1859" t="s">
        <v>3001</v>
      </c>
      <c r="E252" s="1859" t="s">
        <v>3002</v>
      </c>
      <c r="F252" s="1859" t="s">
        <v>2560</v>
      </c>
      <c r="G252" s="1859" t="s">
        <v>3003</v>
      </c>
      <c r="H252" s="1859" t="s">
        <v>22</v>
      </c>
      <c r="I252" s="1859" t="s">
        <v>956</v>
      </c>
    </row>
    <row customHeight="1" ht="11.25">
      <c r="A253" s="1859" t="s">
        <v>2335</v>
      </c>
      <c r="B253" s="1859" t="s">
        <v>16</v>
      </c>
      <c r="C253" s="1859" t="s">
        <v>2350</v>
      </c>
      <c r="D253" s="1859" t="s">
        <v>2351</v>
      </c>
      <c r="E253" s="1859" t="s">
        <v>2352</v>
      </c>
      <c r="F253" s="1859" t="s">
        <v>2349</v>
      </c>
      <c r="G253" s="1859" t="s">
        <v>22</v>
      </c>
      <c r="H253" s="1859" t="s">
        <v>22</v>
      </c>
      <c r="I253" s="1859" t="s">
        <v>956</v>
      </c>
    </row>
    <row customHeight="1" ht="11.25">
      <c r="A254" s="1859" t="s">
        <v>2335</v>
      </c>
      <c r="B254" s="1859" t="s">
        <v>16</v>
      </c>
      <c r="C254" s="1859" t="s">
        <v>2353</v>
      </c>
      <c r="D254" s="1859" t="s">
        <v>2354</v>
      </c>
      <c r="E254" s="1859" t="s">
        <v>2355</v>
      </c>
      <c r="F254" s="1859" t="s">
        <v>2356</v>
      </c>
      <c r="G254" s="1859" t="s">
        <v>22</v>
      </c>
      <c r="H254" s="1859" t="s">
        <v>22</v>
      </c>
      <c r="I254" s="1859" t="s">
        <v>956</v>
      </c>
    </row>
    <row customHeight="1" ht="11.25">
      <c r="A255" s="1859" t="s">
        <v>2335</v>
      </c>
      <c r="B255" s="1859" t="s">
        <v>16</v>
      </c>
      <c r="C255" s="1859" t="s">
        <v>2357</v>
      </c>
      <c r="D255" s="1859" t="s">
        <v>2358</v>
      </c>
      <c r="E255" s="1859" t="s">
        <v>2359</v>
      </c>
      <c r="F255" s="1859" t="s">
        <v>2344</v>
      </c>
      <c r="G255" s="1859" t="s">
        <v>2360</v>
      </c>
      <c r="H255" s="1859" t="s">
        <v>22</v>
      </c>
      <c r="I255" s="1859" t="s">
        <v>956</v>
      </c>
    </row>
    <row customHeight="1" ht="11.25">
      <c r="A256" s="1859" t="s">
        <v>2335</v>
      </c>
      <c r="B256" s="1859" t="s">
        <v>16</v>
      </c>
      <c r="C256" s="1859" t="s">
        <v>2361</v>
      </c>
      <c r="D256" s="1859" t="s">
        <v>2362</v>
      </c>
      <c r="E256" s="1859" t="s">
        <v>2363</v>
      </c>
      <c r="F256" s="1859" t="s">
        <v>2364</v>
      </c>
      <c r="G256" s="1859" t="s">
        <v>22</v>
      </c>
      <c r="H256" s="1859" t="s">
        <v>22</v>
      </c>
      <c r="I256" s="1859" t="s">
        <v>956</v>
      </c>
    </row>
    <row customHeight="1" ht="11.25">
      <c r="A257" s="1859" t="s">
        <v>2335</v>
      </c>
      <c r="B257" s="1859" t="s">
        <v>16</v>
      </c>
      <c r="C257" s="1859" t="s">
        <v>2365</v>
      </c>
      <c r="D257" s="1859" t="s">
        <v>2366</v>
      </c>
      <c r="E257" s="1859" t="s">
        <v>2367</v>
      </c>
      <c r="F257" s="1859" t="s">
        <v>2368</v>
      </c>
      <c r="G257" s="1859" t="s">
        <v>22</v>
      </c>
      <c r="H257" s="1859" t="s">
        <v>22</v>
      </c>
      <c r="I257" s="1859" t="s">
        <v>956</v>
      </c>
    </row>
    <row customHeight="1" ht="11.25">
      <c r="A258" s="1859" t="s">
        <v>2335</v>
      </c>
      <c r="B258" s="1859" t="s">
        <v>16</v>
      </c>
      <c r="C258" s="1859" t="s">
        <v>3004</v>
      </c>
      <c r="D258" s="1859" t="s">
        <v>3005</v>
      </c>
      <c r="E258" s="1859" t="s">
        <v>3006</v>
      </c>
      <c r="F258" s="1859" t="s">
        <v>3007</v>
      </c>
      <c r="G258" s="1859" t="s">
        <v>22</v>
      </c>
      <c r="H258" s="1859" t="s">
        <v>22</v>
      </c>
      <c r="I258" s="1859" t="s">
        <v>956</v>
      </c>
    </row>
    <row customHeight="1" ht="11.25">
      <c r="A259" s="1859" t="s">
        <v>2335</v>
      </c>
      <c r="B259" s="1859" t="s">
        <v>16</v>
      </c>
      <c r="C259" s="1859" t="s">
        <v>3008</v>
      </c>
      <c r="D259" s="1859" t="s">
        <v>3009</v>
      </c>
      <c r="E259" s="1859" t="s">
        <v>3010</v>
      </c>
      <c r="F259" s="1859" t="s">
        <v>2429</v>
      </c>
      <c r="G259" s="1859" t="s">
        <v>22</v>
      </c>
      <c r="H259" s="1859" t="s">
        <v>22</v>
      </c>
      <c r="I259" s="1859" t="s">
        <v>956</v>
      </c>
    </row>
    <row customHeight="1" ht="11.25">
      <c r="A260" s="1859" t="s">
        <v>2335</v>
      </c>
      <c r="B260" s="1859" t="s">
        <v>16</v>
      </c>
      <c r="C260" s="1859" t="s">
        <v>2373</v>
      </c>
      <c r="D260" s="1859" t="s">
        <v>2374</v>
      </c>
      <c r="E260" s="1859" t="s">
        <v>2375</v>
      </c>
      <c r="F260" s="1859" t="s">
        <v>2376</v>
      </c>
      <c r="G260" s="1859" t="s">
        <v>22</v>
      </c>
      <c r="H260" s="1859" t="s">
        <v>22</v>
      </c>
      <c r="I260" s="1859" t="s">
        <v>956</v>
      </c>
    </row>
    <row customHeight="1" ht="11.25">
      <c r="A261" s="1859" t="s">
        <v>2335</v>
      </c>
      <c r="B261" s="1859" t="s">
        <v>16</v>
      </c>
      <c r="C261" s="1859" t="s">
        <v>2377</v>
      </c>
      <c r="D261" s="1859" t="s">
        <v>2378</v>
      </c>
      <c r="E261" s="1859" t="s">
        <v>2379</v>
      </c>
      <c r="F261" s="1859" t="s">
        <v>2380</v>
      </c>
      <c r="G261" s="1859" t="s">
        <v>22</v>
      </c>
      <c r="H261" s="1859" t="s">
        <v>22</v>
      </c>
      <c r="I261" s="1859" t="s">
        <v>956</v>
      </c>
    </row>
    <row customHeight="1" ht="11.25">
      <c r="A262" s="1859" t="s">
        <v>2335</v>
      </c>
      <c r="B262" s="1859" t="s">
        <v>16</v>
      </c>
      <c r="C262" s="1859" t="s">
        <v>2403</v>
      </c>
      <c r="D262" s="1859" t="s">
        <v>2404</v>
      </c>
      <c r="E262" s="1859" t="s">
        <v>2405</v>
      </c>
      <c r="F262" s="1859" t="s">
        <v>2406</v>
      </c>
      <c r="G262" s="1859" t="s">
        <v>22</v>
      </c>
      <c r="H262" s="1859" t="s">
        <v>22</v>
      </c>
      <c r="I262" s="1859" t="s">
        <v>956</v>
      </c>
    </row>
    <row customHeight="1" ht="11.25">
      <c r="A263" s="1859" t="s">
        <v>2335</v>
      </c>
      <c r="B263" s="1859" t="s">
        <v>16</v>
      </c>
      <c r="C263" s="1859" t="s">
        <v>2415</v>
      </c>
      <c r="D263" s="1859" t="s">
        <v>2416</v>
      </c>
      <c r="E263" s="1859" t="s">
        <v>2417</v>
      </c>
      <c r="F263" s="1859" t="s">
        <v>2418</v>
      </c>
      <c r="G263" s="1859" t="s">
        <v>2360</v>
      </c>
      <c r="H263" s="1859" t="s">
        <v>22</v>
      </c>
      <c r="I263" s="1859" t="s">
        <v>956</v>
      </c>
    </row>
    <row customHeight="1" ht="11.25">
      <c r="A264" s="1859" t="s">
        <v>2335</v>
      </c>
      <c r="B264" s="1859" t="s">
        <v>16</v>
      </c>
      <c r="C264" s="1859" t="s">
        <v>2422</v>
      </c>
      <c r="D264" s="1859" t="s">
        <v>2423</v>
      </c>
      <c r="E264" s="1859" t="s">
        <v>2424</v>
      </c>
      <c r="F264" s="1859" t="s">
        <v>2425</v>
      </c>
      <c r="G264" s="1859" t="s">
        <v>22</v>
      </c>
      <c r="H264" s="1859" t="s">
        <v>22</v>
      </c>
      <c r="I264" s="1859" t="s">
        <v>956</v>
      </c>
    </row>
    <row customHeight="1" ht="11.25">
      <c r="A265" s="1859" t="s">
        <v>2335</v>
      </c>
      <c r="B265" s="1859" t="s">
        <v>16</v>
      </c>
      <c r="C265" s="1859" t="s">
        <v>2426</v>
      </c>
      <c r="D265" s="1859" t="s">
        <v>2427</v>
      </c>
      <c r="E265" s="1859" t="s">
        <v>2428</v>
      </c>
      <c r="F265" s="1859" t="s">
        <v>2429</v>
      </c>
      <c r="G265" s="1859" t="s">
        <v>22</v>
      </c>
      <c r="H265" s="1859" t="s">
        <v>22</v>
      </c>
      <c r="I265" s="1859" t="s">
        <v>956</v>
      </c>
    </row>
    <row customHeight="1" ht="11.25">
      <c r="A266" s="1859" t="s">
        <v>2335</v>
      </c>
      <c r="B266" s="1859" t="s">
        <v>16</v>
      </c>
      <c r="C266" s="1859" t="s">
        <v>2433</v>
      </c>
      <c r="D266" s="1859" t="s">
        <v>2434</v>
      </c>
      <c r="E266" s="1859" t="s">
        <v>2435</v>
      </c>
      <c r="F266" s="1859" t="s">
        <v>2436</v>
      </c>
      <c r="G266" s="1859" t="s">
        <v>22</v>
      </c>
      <c r="H266" s="1859" t="s">
        <v>22</v>
      </c>
      <c r="I266" s="1859" t="s">
        <v>956</v>
      </c>
    </row>
    <row customHeight="1" ht="11.25">
      <c r="A267" s="1859" t="s">
        <v>2335</v>
      </c>
      <c r="B267" s="1859" t="s">
        <v>16</v>
      </c>
      <c r="C267" s="1859" t="s">
        <v>2437</v>
      </c>
      <c r="D267" s="1859" t="s">
        <v>2438</v>
      </c>
      <c r="E267" s="1859" t="s">
        <v>2435</v>
      </c>
      <c r="F267" s="1859" t="s">
        <v>2439</v>
      </c>
      <c r="G267" s="1859" t="s">
        <v>22</v>
      </c>
      <c r="H267" s="1859" t="s">
        <v>22</v>
      </c>
      <c r="I267" s="1859" t="s">
        <v>956</v>
      </c>
    </row>
    <row customHeight="1" ht="11.25">
      <c r="A268" s="1859" t="s">
        <v>2335</v>
      </c>
      <c r="B268" s="1859" t="s">
        <v>16</v>
      </c>
      <c r="C268" s="1859" t="s">
        <v>3011</v>
      </c>
      <c r="D268" s="1859" t="s">
        <v>3012</v>
      </c>
      <c r="E268" s="1859" t="s">
        <v>3013</v>
      </c>
      <c r="F268" s="1859" t="s">
        <v>2620</v>
      </c>
      <c r="G268" s="1859" t="s">
        <v>22</v>
      </c>
      <c r="H268" s="1859" t="s">
        <v>22</v>
      </c>
      <c r="I268" s="1859" t="s">
        <v>956</v>
      </c>
    </row>
    <row customHeight="1" ht="11.25">
      <c r="A269" s="1859" t="s">
        <v>2335</v>
      </c>
      <c r="B269" s="1859" t="s">
        <v>16</v>
      </c>
      <c r="C269" s="1859" t="s">
        <v>2440</v>
      </c>
      <c r="D269" s="1859" t="s">
        <v>2441</v>
      </c>
      <c r="E269" s="1859" t="s">
        <v>2442</v>
      </c>
      <c r="F269" s="1859" t="s">
        <v>2429</v>
      </c>
      <c r="G269" s="1859" t="s">
        <v>22</v>
      </c>
      <c r="H269" s="1859" t="s">
        <v>22</v>
      </c>
      <c r="I269" s="1859" t="s">
        <v>956</v>
      </c>
    </row>
    <row customHeight="1" ht="11.25">
      <c r="A270" s="1859" t="s">
        <v>2335</v>
      </c>
      <c r="B270" s="1859" t="s">
        <v>16</v>
      </c>
      <c r="C270" s="1859" t="s">
        <v>2443</v>
      </c>
      <c r="D270" s="1859" t="s">
        <v>2444</v>
      </c>
      <c r="E270" s="1859" t="s">
        <v>2445</v>
      </c>
      <c r="F270" s="1859" t="s">
        <v>2372</v>
      </c>
      <c r="G270" s="1859" t="s">
        <v>22</v>
      </c>
      <c r="H270" s="1859" t="s">
        <v>22</v>
      </c>
      <c r="I270" s="1859" t="s">
        <v>956</v>
      </c>
    </row>
    <row customHeight="1" ht="11.25">
      <c r="A271" s="1859" t="s">
        <v>2335</v>
      </c>
      <c r="B271" s="1859" t="s">
        <v>16</v>
      </c>
      <c r="C271" s="1859" t="s">
        <v>2449</v>
      </c>
      <c r="D271" s="1859" t="s">
        <v>2450</v>
      </c>
      <c r="E271" s="1859" t="s">
        <v>2451</v>
      </c>
      <c r="F271" s="1859" t="s">
        <v>2406</v>
      </c>
      <c r="G271" s="1859" t="s">
        <v>22</v>
      </c>
      <c r="H271" s="1859" t="s">
        <v>22</v>
      </c>
      <c r="I271" s="1859" t="s">
        <v>956</v>
      </c>
    </row>
    <row customHeight="1" ht="11.25">
      <c r="A272" s="1859" t="s">
        <v>2335</v>
      </c>
      <c r="B272" s="1859" t="s">
        <v>16</v>
      </c>
      <c r="C272" s="1859" t="s">
        <v>22</v>
      </c>
      <c r="D272" s="1859" t="s">
        <v>2456</v>
      </c>
      <c r="E272" s="1859" t="s">
        <v>2457</v>
      </c>
      <c r="F272" s="1859" t="s">
        <v>2349</v>
      </c>
      <c r="G272" s="1859" t="s">
        <v>22</v>
      </c>
      <c r="H272" s="1859" t="s">
        <v>22</v>
      </c>
      <c r="I272" s="1859" t="s">
        <v>956</v>
      </c>
    </row>
    <row customHeight="1" ht="11.25">
      <c r="A273" s="1859" t="s">
        <v>2335</v>
      </c>
      <c r="B273" s="1859" t="s">
        <v>16</v>
      </c>
      <c r="C273" s="1859" t="s">
        <v>2470</v>
      </c>
      <c r="D273" s="1859" t="s">
        <v>2471</v>
      </c>
      <c r="E273" s="1859" t="s">
        <v>2472</v>
      </c>
      <c r="F273" s="1859" t="s">
        <v>2473</v>
      </c>
      <c r="G273" s="1859" t="s">
        <v>2474</v>
      </c>
      <c r="H273" s="1859" t="s">
        <v>22</v>
      </c>
      <c r="I273" s="1859" t="s">
        <v>956</v>
      </c>
    </row>
    <row customHeight="1" ht="11.25">
      <c r="A274" s="1859" t="s">
        <v>2335</v>
      </c>
      <c r="B274" s="1859" t="s">
        <v>16</v>
      </c>
      <c r="C274" s="1859" t="s">
        <v>2475</v>
      </c>
      <c r="D274" s="1859" t="s">
        <v>2476</v>
      </c>
      <c r="E274" s="1859" t="s">
        <v>2477</v>
      </c>
      <c r="F274" s="1859" t="s">
        <v>2406</v>
      </c>
      <c r="G274" s="1859" t="s">
        <v>22</v>
      </c>
      <c r="H274" s="1859" t="s">
        <v>22</v>
      </c>
      <c r="I274" s="1859" t="s">
        <v>956</v>
      </c>
    </row>
    <row customHeight="1" ht="11.25">
      <c r="A275" s="1859" t="s">
        <v>2335</v>
      </c>
      <c r="B275" s="1859" t="s">
        <v>16</v>
      </c>
      <c r="C275" s="1859" t="s">
        <v>2478</v>
      </c>
      <c r="D275" s="1859" t="s">
        <v>2479</v>
      </c>
      <c r="E275" s="1859" t="s">
        <v>2480</v>
      </c>
      <c r="F275" s="1859" t="s">
        <v>2481</v>
      </c>
      <c r="G275" s="1859" t="s">
        <v>22</v>
      </c>
      <c r="H275" s="1859" t="s">
        <v>22</v>
      </c>
      <c r="I275" s="1859" t="s">
        <v>956</v>
      </c>
    </row>
    <row customHeight="1" ht="11.25">
      <c r="A276" s="1859" t="s">
        <v>2335</v>
      </c>
      <c r="B276" s="1859" t="s">
        <v>16</v>
      </c>
      <c r="C276" s="1859" t="s">
        <v>2485</v>
      </c>
      <c r="D276" s="1859" t="s">
        <v>2486</v>
      </c>
      <c r="E276" s="1859" t="s">
        <v>2487</v>
      </c>
      <c r="F276" s="1859" t="s">
        <v>648</v>
      </c>
      <c r="G276" s="1859" t="s">
        <v>22</v>
      </c>
      <c r="H276" s="1859" t="s">
        <v>22</v>
      </c>
      <c r="I276" s="1859" t="s">
        <v>956</v>
      </c>
    </row>
    <row customHeight="1" ht="11.25">
      <c r="A277" s="1859" t="s">
        <v>2335</v>
      </c>
      <c r="B277" s="1859" t="s">
        <v>16</v>
      </c>
      <c r="C277" s="1859" t="s">
        <v>2491</v>
      </c>
      <c r="D277" s="1859" t="s">
        <v>2492</v>
      </c>
      <c r="E277" s="1859" t="s">
        <v>2493</v>
      </c>
      <c r="F277" s="1859" t="s">
        <v>648</v>
      </c>
      <c r="G277" s="1859" t="s">
        <v>2494</v>
      </c>
      <c r="H277" s="1859" t="s">
        <v>22</v>
      </c>
      <c r="I277" s="1859" t="s">
        <v>956</v>
      </c>
    </row>
    <row customHeight="1" ht="11.25">
      <c r="A278" s="1859" t="s">
        <v>2335</v>
      </c>
      <c r="B278" s="1859" t="s">
        <v>16</v>
      </c>
      <c r="C278" s="1859" t="s">
        <v>2495</v>
      </c>
      <c r="D278" s="1859" t="s">
        <v>2496</v>
      </c>
      <c r="E278" s="1859" t="s">
        <v>2497</v>
      </c>
      <c r="F278" s="1859" t="s">
        <v>648</v>
      </c>
      <c r="G278" s="1859" t="s">
        <v>22</v>
      </c>
      <c r="H278" s="1859" t="s">
        <v>22</v>
      </c>
      <c r="I278" s="1859" t="s">
        <v>956</v>
      </c>
    </row>
    <row customHeight="1" ht="11.25">
      <c r="A279" s="1859" t="s">
        <v>2335</v>
      </c>
      <c r="B279" s="1859" t="s">
        <v>16</v>
      </c>
      <c r="C279" s="1859" t="s">
        <v>3014</v>
      </c>
      <c r="D279" s="1859" t="s">
        <v>3015</v>
      </c>
      <c r="E279" s="1859" t="s">
        <v>3016</v>
      </c>
      <c r="F279" s="1859" t="s">
        <v>648</v>
      </c>
      <c r="G279" s="1859" t="s">
        <v>3017</v>
      </c>
      <c r="H279" s="1859" t="s">
        <v>22</v>
      </c>
      <c r="I279" s="1859" t="s">
        <v>956</v>
      </c>
    </row>
    <row customHeight="1" ht="11.25">
      <c r="A280" s="1859" t="s">
        <v>2335</v>
      </c>
      <c r="B280" s="1859" t="s">
        <v>16</v>
      </c>
      <c r="C280" s="1859" t="s">
        <v>2503</v>
      </c>
      <c r="D280" s="1859" t="s">
        <v>2504</v>
      </c>
      <c r="E280" s="1859" t="s">
        <v>2505</v>
      </c>
      <c r="F280" s="1859" t="s">
        <v>2506</v>
      </c>
      <c r="G280" s="1859" t="s">
        <v>22</v>
      </c>
      <c r="H280" s="1859" t="s">
        <v>22</v>
      </c>
      <c r="I280" s="1859" t="s">
        <v>956</v>
      </c>
    </row>
    <row customHeight="1" ht="11.25">
      <c r="A281" s="1859" t="s">
        <v>2335</v>
      </c>
      <c r="B281" s="1859" t="s">
        <v>16</v>
      </c>
      <c r="C281" s="1859" t="s">
        <v>3018</v>
      </c>
      <c r="D281" s="1859" t="s">
        <v>3019</v>
      </c>
      <c r="E281" s="1859" t="s">
        <v>2505</v>
      </c>
      <c r="F281" s="1859" t="s">
        <v>3020</v>
      </c>
      <c r="G281" s="1859" t="s">
        <v>22</v>
      </c>
      <c r="H281" s="1859" t="s">
        <v>22</v>
      </c>
      <c r="I281" s="1859" t="s">
        <v>956</v>
      </c>
    </row>
    <row customHeight="1" ht="11.25">
      <c r="A282" s="1859" t="s">
        <v>2335</v>
      </c>
      <c r="B282" s="1859" t="s">
        <v>16</v>
      </c>
      <c r="C282" s="1859" t="s">
        <v>2507</v>
      </c>
      <c r="D282" s="1859" t="s">
        <v>2508</v>
      </c>
      <c r="E282" s="1859" t="s">
        <v>2460</v>
      </c>
      <c r="F282" s="1859" t="s">
        <v>2509</v>
      </c>
      <c r="G282" s="1859" t="s">
        <v>22</v>
      </c>
      <c r="H282" s="1859" t="s">
        <v>22</v>
      </c>
      <c r="I282" s="1859" t="s">
        <v>956</v>
      </c>
    </row>
    <row customHeight="1" ht="11.25">
      <c r="A283" s="1859" t="s">
        <v>2335</v>
      </c>
      <c r="B283" s="1859" t="s">
        <v>16</v>
      </c>
      <c r="C283" s="1859" t="s">
        <v>3021</v>
      </c>
      <c r="D283" s="1859" t="s">
        <v>3022</v>
      </c>
      <c r="E283" s="1859" t="s">
        <v>3023</v>
      </c>
      <c r="F283" s="1859" t="s">
        <v>2518</v>
      </c>
      <c r="G283" s="1859" t="s">
        <v>3024</v>
      </c>
      <c r="H283" s="1859" t="s">
        <v>22</v>
      </c>
      <c r="I283" s="1859" t="s">
        <v>956</v>
      </c>
    </row>
    <row customHeight="1" ht="11.25">
      <c r="A284" s="1859" t="s">
        <v>2335</v>
      </c>
      <c r="B284" s="1859" t="s">
        <v>16</v>
      </c>
      <c r="C284" s="1859" t="s">
        <v>3025</v>
      </c>
      <c r="D284" s="1859" t="s">
        <v>3026</v>
      </c>
      <c r="E284" s="1859" t="s">
        <v>3027</v>
      </c>
      <c r="F284" s="1859" t="s">
        <v>2518</v>
      </c>
      <c r="G284" s="1859" t="s">
        <v>22</v>
      </c>
      <c r="H284" s="1859" t="s">
        <v>22</v>
      </c>
      <c r="I284" s="1859" t="s">
        <v>956</v>
      </c>
    </row>
    <row customHeight="1" ht="11.25">
      <c r="A285" s="1859" t="s">
        <v>2335</v>
      </c>
      <c r="B285" s="1859" t="s">
        <v>16</v>
      </c>
      <c r="C285" s="1859" t="s">
        <v>2515</v>
      </c>
      <c r="D285" s="1859" t="s">
        <v>2516</v>
      </c>
      <c r="E285" s="1859" t="s">
        <v>2517</v>
      </c>
      <c r="F285" s="1859" t="s">
        <v>2518</v>
      </c>
      <c r="G285" s="1859" t="s">
        <v>22</v>
      </c>
      <c r="H285" s="1859" t="s">
        <v>22</v>
      </c>
      <c r="I285" s="1859" t="s">
        <v>956</v>
      </c>
    </row>
    <row customHeight="1" ht="11.25">
      <c r="A286" s="1859" t="s">
        <v>2335</v>
      </c>
      <c r="B286" s="1859" t="s">
        <v>16</v>
      </c>
      <c r="C286" s="1859" t="s">
        <v>3028</v>
      </c>
      <c r="D286" s="1859" t="s">
        <v>3029</v>
      </c>
      <c r="E286" s="1859" t="s">
        <v>3030</v>
      </c>
      <c r="F286" s="1859" t="s">
        <v>2518</v>
      </c>
      <c r="G286" s="1859" t="s">
        <v>22</v>
      </c>
      <c r="H286" s="1859" t="s">
        <v>22</v>
      </c>
      <c r="I286" s="1859" t="s">
        <v>956</v>
      </c>
    </row>
    <row customHeight="1" ht="11.25">
      <c r="A287" s="1859" t="s">
        <v>2335</v>
      </c>
      <c r="B287" s="1859" t="s">
        <v>16</v>
      </c>
      <c r="C287" s="1859" t="s">
        <v>3031</v>
      </c>
      <c r="D287" s="1859" t="s">
        <v>3032</v>
      </c>
      <c r="E287" s="1859" t="s">
        <v>3033</v>
      </c>
      <c r="F287" s="1859" t="s">
        <v>2518</v>
      </c>
      <c r="G287" s="1859" t="s">
        <v>22</v>
      </c>
      <c r="H287" s="1859" t="s">
        <v>22</v>
      </c>
      <c r="I287" s="1859" t="s">
        <v>956</v>
      </c>
    </row>
    <row customHeight="1" ht="11.25">
      <c r="A288" s="1859" t="s">
        <v>2335</v>
      </c>
      <c r="B288" s="1859" t="s">
        <v>16</v>
      </c>
      <c r="C288" s="1859" t="s">
        <v>3034</v>
      </c>
      <c r="D288" s="1859" t="s">
        <v>3035</v>
      </c>
      <c r="E288" s="1859" t="s">
        <v>3036</v>
      </c>
      <c r="F288" s="1859" t="s">
        <v>2395</v>
      </c>
      <c r="G288" s="1859" t="s">
        <v>22</v>
      </c>
      <c r="H288" s="1859" t="s">
        <v>22</v>
      </c>
      <c r="I288" s="1859" t="s">
        <v>956</v>
      </c>
    </row>
    <row customHeight="1" ht="11.25">
      <c r="A289" s="1859" t="s">
        <v>2335</v>
      </c>
      <c r="B289" s="1859" t="s">
        <v>16</v>
      </c>
      <c r="C289" s="1859" t="s">
        <v>2522</v>
      </c>
      <c r="D289" s="1859" t="s">
        <v>2523</v>
      </c>
      <c r="E289" s="1859" t="s">
        <v>2524</v>
      </c>
      <c r="F289" s="1859" t="s">
        <v>2518</v>
      </c>
      <c r="G289" s="1859" t="s">
        <v>2525</v>
      </c>
      <c r="H289" s="1859" t="s">
        <v>22</v>
      </c>
      <c r="I289" s="1859" t="s">
        <v>956</v>
      </c>
    </row>
    <row customHeight="1" ht="11.25">
      <c r="A290" s="1859" t="s">
        <v>2335</v>
      </c>
      <c r="B290" s="1859" t="s">
        <v>16</v>
      </c>
      <c r="C290" s="1859" t="s">
        <v>2526</v>
      </c>
      <c r="D290" s="1859" t="s">
        <v>2527</v>
      </c>
      <c r="E290" s="1859" t="s">
        <v>2528</v>
      </c>
      <c r="F290" s="1859" t="s">
        <v>2518</v>
      </c>
      <c r="G290" s="1859" t="s">
        <v>2529</v>
      </c>
      <c r="H290" s="1859" t="s">
        <v>22</v>
      </c>
      <c r="I290" s="1859" t="s">
        <v>956</v>
      </c>
    </row>
    <row customHeight="1" ht="11.25">
      <c r="A291" s="1859" t="s">
        <v>2335</v>
      </c>
      <c r="B291" s="1859" t="s">
        <v>16</v>
      </c>
      <c r="C291" s="1859" t="s">
        <v>3037</v>
      </c>
      <c r="D291" s="1859" t="s">
        <v>3038</v>
      </c>
      <c r="E291" s="1859" t="s">
        <v>3039</v>
      </c>
      <c r="F291" s="1859" t="s">
        <v>2469</v>
      </c>
      <c r="G291" s="1859" t="s">
        <v>22</v>
      </c>
      <c r="H291" s="1859" t="s">
        <v>22</v>
      </c>
      <c r="I291" s="1859" t="s">
        <v>956</v>
      </c>
    </row>
    <row customHeight="1" ht="11.25">
      <c r="A292" s="1859" t="s">
        <v>2335</v>
      </c>
      <c r="B292" s="1859" t="s">
        <v>16</v>
      </c>
      <c r="C292" s="1859" t="s">
        <v>2530</v>
      </c>
      <c r="D292" s="1859" t="s">
        <v>2531</v>
      </c>
      <c r="E292" s="1859" t="s">
        <v>2532</v>
      </c>
      <c r="F292" s="1859" t="s">
        <v>2469</v>
      </c>
      <c r="G292" s="1859" t="s">
        <v>22</v>
      </c>
      <c r="H292" s="1859" t="s">
        <v>22</v>
      </c>
      <c r="I292" s="1859" t="s">
        <v>956</v>
      </c>
    </row>
    <row customHeight="1" ht="11.25">
      <c r="A293" s="1859" t="s">
        <v>2335</v>
      </c>
      <c r="B293" s="1859" t="s">
        <v>16</v>
      </c>
      <c r="C293" s="1859" t="s">
        <v>3040</v>
      </c>
      <c r="D293" s="1859" t="s">
        <v>3041</v>
      </c>
      <c r="E293" s="1859" t="s">
        <v>3042</v>
      </c>
      <c r="F293" s="1859" t="s">
        <v>3043</v>
      </c>
      <c r="G293" s="1859" t="s">
        <v>22</v>
      </c>
      <c r="H293" s="1859" t="s">
        <v>22</v>
      </c>
      <c r="I293" s="1859" t="s">
        <v>956</v>
      </c>
    </row>
    <row customHeight="1" ht="11.25">
      <c r="A294" s="1859" t="s">
        <v>2335</v>
      </c>
      <c r="B294" s="1859" t="s">
        <v>16</v>
      </c>
      <c r="C294" s="1859" t="s">
        <v>3044</v>
      </c>
      <c r="D294" s="1859" t="s">
        <v>3045</v>
      </c>
      <c r="E294" s="1859" t="s">
        <v>3046</v>
      </c>
      <c r="F294" s="1859" t="s">
        <v>2539</v>
      </c>
      <c r="G294" s="1859" t="s">
        <v>22</v>
      </c>
      <c r="H294" s="1859" t="s">
        <v>22</v>
      </c>
      <c r="I294" s="1859" t="s">
        <v>956</v>
      </c>
    </row>
    <row customHeight="1" ht="11.25">
      <c r="A295" s="1859" t="s">
        <v>2335</v>
      </c>
      <c r="B295" s="1859" t="s">
        <v>16</v>
      </c>
      <c r="C295" s="1859" t="s">
        <v>2533</v>
      </c>
      <c r="D295" s="1859" t="s">
        <v>2534</v>
      </c>
      <c r="E295" s="1859" t="s">
        <v>2535</v>
      </c>
      <c r="F295" s="1859" t="s">
        <v>2518</v>
      </c>
      <c r="G295" s="1859" t="s">
        <v>22</v>
      </c>
      <c r="H295" s="1859" t="s">
        <v>22</v>
      </c>
      <c r="I295" s="1859" t="s">
        <v>956</v>
      </c>
    </row>
    <row customHeight="1" ht="11.25">
      <c r="A296" s="1859" t="s">
        <v>2335</v>
      </c>
      <c r="B296" s="1859" t="s">
        <v>16</v>
      </c>
      <c r="C296" s="1859" t="s">
        <v>2540</v>
      </c>
      <c r="D296" s="1859" t="s">
        <v>2541</v>
      </c>
      <c r="E296" s="1859" t="s">
        <v>2542</v>
      </c>
      <c r="F296" s="1859" t="s">
        <v>2543</v>
      </c>
      <c r="G296" s="1859" t="s">
        <v>22</v>
      </c>
      <c r="H296" s="1859" t="s">
        <v>22</v>
      </c>
      <c r="I296" s="1859" t="s">
        <v>956</v>
      </c>
    </row>
    <row customHeight="1" ht="11.25">
      <c r="A297" s="1859" t="s">
        <v>2335</v>
      </c>
      <c r="B297" s="1859" t="s">
        <v>16</v>
      </c>
      <c r="C297" s="1859" t="s">
        <v>3047</v>
      </c>
      <c r="D297" s="1859" t="s">
        <v>3048</v>
      </c>
      <c r="E297" s="1859" t="s">
        <v>3049</v>
      </c>
      <c r="F297" s="1859" t="s">
        <v>2465</v>
      </c>
      <c r="G297" s="1859" t="s">
        <v>22</v>
      </c>
      <c r="H297" s="1859" t="s">
        <v>22</v>
      </c>
      <c r="I297" s="1859" t="s">
        <v>956</v>
      </c>
    </row>
    <row customHeight="1" ht="11.25">
      <c r="A298" s="1859" t="s">
        <v>2335</v>
      </c>
      <c r="B298" s="1859" t="s">
        <v>16</v>
      </c>
      <c r="C298" s="1859" t="s">
        <v>2547</v>
      </c>
      <c r="D298" s="1859" t="s">
        <v>2548</v>
      </c>
      <c r="E298" s="1859" t="s">
        <v>2549</v>
      </c>
      <c r="F298" s="1859" t="s">
        <v>51</v>
      </c>
      <c r="G298" s="1859" t="s">
        <v>2550</v>
      </c>
      <c r="H298" s="1859" t="s">
        <v>22</v>
      </c>
      <c r="I298" s="1859" t="s">
        <v>956</v>
      </c>
    </row>
    <row customHeight="1" ht="11.25">
      <c r="A299" s="1859" t="s">
        <v>2335</v>
      </c>
      <c r="B299" s="1859" t="s">
        <v>16</v>
      </c>
      <c r="C299" s="1859" t="s">
        <v>3050</v>
      </c>
      <c r="D299" s="1859" t="s">
        <v>3051</v>
      </c>
      <c r="E299" s="1859" t="s">
        <v>3052</v>
      </c>
      <c r="F299" s="1859" t="s">
        <v>2395</v>
      </c>
      <c r="G299" s="1859" t="s">
        <v>22</v>
      </c>
      <c r="H299" s="1859" t="s">
        <v>22</v>
      </c>
      <c r="I299" s="1859" t="s">
        <v>956</v>
      </c>
    </row>
    <row customHeight="1" ht="11.25">
      <c r="A300" s="1859" t="s">
        <v>2335</v>
      </c>
      <c r="B300" s="1859" t="s">
        <v>16</v>
      </c>
      <c r="C300" s="1859" t="s">
        <v>3053</v>
      </c>
      <c r="D300" s="1859" t="s">
        <v>3054</v>
      </c>
      <c r="E300" s="1859" t="s">
        <v>3055</v>
      </c>
      <c r="F300" s="1859" t="s">
        <v>2513</v>
      </c>
      <c r="G300" s="1859" t="s">
        <v>22</v>
      </c>
      <c r="H300" s="1859" t="s">
        <v>22</v>
      </c>
      <c r="I300" s="1859" t="s">
        <v>956</v>
      </c>
    </row>
    <row customHeight="1" ht="11.25">
      <c r="A301" s="1859" t="s">
        <v>2335</v>
      </c>
      <c r="B301" s="1859" t="s">
        <v>16</v>
      </c>
      <c r="C301" s="1859" t="s">
        <v>2551</v>
      </c>
      <c r="D301" s="1859" t="s">
        <v>2552</v>
      </c>
      <c r="E301" s="1859" t="s">
        <v>2553</v>
      </c>
      <c r="F301" s="1859" t="s">
        <v>2518</v>
      </c>
      <c r="G301" s="1859" t="s">
        <v>22</v>
      </c>
      <c r="H301" s="1859" t="s">
        <v>22</v>
      </c>
      <c r="I301" s="1859" t="s">
        <v>956</v>
      </c>
    </row>
    <row customHeight="1" ht="11.25">
      <c r="A302" s="1859" t="s">
        <v>2335</v>
      </c>
      <c r="B302" s="1859" t="s">
        <v>16</v>
      </c>
      <c r="C302" s="1859" t="s">
        <v>3056</v>
      </c>
      <c r="D302" s="1859" t="s">
        <v>3057</v>
      </c>
      <c r="E302" s="1859" t="s">
        <v>3058</v>
      </c>
      <c r="F302" s="1859" t="s">
        <v>2395</v>
      </c>
      <c r="G302" s="1859" t="s">
        <v>3059</v>
      </c>
      <c r="H302" s="1859" t="s">
        <v>22</v>
      </c>
      <c r="I302" s="1859" t="s">
        <v>956</v>
      </c>
    </row>
    <row customHeight="1" ht="11.25">
      <c r="A303" s="1859" t="s">
        <v>2335</v>
      </c>
      <c r="B303" s="1859" t="s">
        <v>16</v>
      </c>
      <c r="C303" s="1859" t="s">
        <v>3060</v>
      </c>
      <c r="D303" s="1859" t="s">
        <v>3061</v>
      </c>
      <c r="E303" s="1859" t="s">
        <v>3062</v>
      </c>
      <c r="F303" s="1859" t="s">
        <v>2560</v>
      </c>
      <c r="G303" s="1859" t="s">
        <v>22</v>
      </c>
      <c r="H303" s="1859" t="s">
        <v>22</v>
      </c>
      <c r="I303" s="1859" t="s">
        <v>956</v>
      </c>
    </row>
    <row customHeight="1" ht="11.25">
      <c r="A304" s="1859" t="s">
        <v>2335</v>
      </c>
      <c r="B304" s="1859" t="s">
        <v>16</v>
      </c>
      <c r="C304" s="1859" t="s">
        <v>3063</v>
      </c>
      <c r="D304" s="1859" t="s">
        <v>3064</v>
      </c>
      <c r="E304" s="1859" t="s">
        <v>3065</v>
      </c>
      <c r="F304" s="1859" t="s">
        <v>2395</v>
      </c>
      <c r="G304" s="1859" t="s">
        <v>22</v>
      </c>
      <c r="H304" s="1859" t="s">
        <v>22</v>
      </c>
      <c r="I304" s="1859" t="s">
        <v>956</v>
      </c>
    </row>
    <row customHeight="1" ht="11.25">
      <c r="A305" s="1859" t="s">
        <v>2335</v>
      </c>
      <c r="B305" s="1859" t="s">
        <v>16</v>
      </c>
      <c r="C305" s="1859" t="s">
        <v>3066</v>
      </c>
      <c r="D305" s="1859" t="s">
        <v>3067</v>
      </c>
      <c r="E305" s="1859" t="s">
        <v>3068</v>
      </c>
      <c r="F305" s="1859" t="s">
        <v>51</v>
      </c>
      <c r="G305" s="1859" t="s">
        <v>22</v>
      </c>
      <c r="H305" s="1859" t="s">
        <v>22</v>
      </c>
      <c r="I305" s="1859" t="s">
        <v>956</v>
      </c>
    </row>
    <row customHeight="1" ht="11.25">
      <c r="A306" s="1859" t="s">
        <v>2335</v>
      </c>
      <c r="B306" s="1859" t="s">
        <v>16</v>
      </c>
      <c r="C306" s="1859" t="s">
        <v>3069</v>
      </c>
      <c r="D306" s="1859" t="s">
        <v>3070</v>
      </c>
      <c r="E306" s="1859" t="s">
        <v>3071</v>
      </c>
      <c r="F306" s="1859" t="s">
        <v>2395</v>
      </c>
      <c r="G306" s="1859" t="s">
        <v>3072</v>
      </c>
      <c r="H306" s="1859" t="s">
        <v>22</v>
      </c>
      <c r="I306" s="1859" t="s">
        <v>956</v>
      </c>
    </row>
    <row customHeight="1" ht="11.25">
      <c r="A307" s="1859" t="s">
        <v>2335</v>
      </c>
      <c r="B307" s="1859" t="s">
        <v>16</v>
      </c>
      <c r="C307" s="1859" t="s">
        <v>3073</v>
      </c>
      <c r="D307" s="1859" t="s">
        <v>3074</v>
      </c>
      <c r="E307" s="1859" t="s">
        <v>3075</v>
      </c>
      <c r="F307" s="1859" t="s">
        <v>2395</v>
      </c>
      <c r="G307" s="1859" t="s">
        <v>3076</v>
      </c>
      <c r="H307" s="1859" t="s">
        <v>22</v>
      </c>
      <c r="I307" s="1859" t="s">
        <v>956</v>
      </c>
    </row>
    <row customHeight="1" ht="11.25">
      <c r="A308" s="1859" t="s">
        <v>2335</v>
      </c>
      <c r="B308" s="1859" t="s">
        <v>16</v>
      </c>
      <c r="C308" s="1859" t="s">
        <v>3077</v>
      </c>
      <c r="D308" s="1859" t="s">
        <v>3078</v>
      </c>
      <c r="E308" s="1859" t="s">
        <v>3079</v>
      </c>
      <c r="F308" s="1859" t="s">
        <v>2513</v>
      </c>
      <c r="G308" s="1859" t="s">
        <v>22</v>
      </c>
      <c r="H308" s="1859" t="s">
        <v>22</v>
      </c>
      <c r="I308" s="1859" t="s">
        <v>956</v>
      </c>
    </row>
    <row customHeight="1" ht="11.25">
      <c r="A309" s="1859" t="s">
        <v>2335</v>
      </c>
      <c r="B309" s="1859" t="s">
        <v>16</v>
      </c>
      <c r="C309" s="1859" t="s">
        <v>3080</v>
      </c>
      <c r="D309" s="1859" t="s">
        <v>3081</v>
      </c>
      <c r="E309" s="1859" t="s">
        <v>3082</v>
      </c>
      <c r="F309" s="1859" t="s">
        <v>2481</v>
      </c>
      <c r="G309" s="1859" t="s">
        <v>22</v>
      </c>
      <c r="H309" s="1859" t="s">
        <v>22</v>
      </c>
      <c r="I309" s="1859" t="s">
        <v>956</v>
      </c>
    </row>
    <row customHeight="1" ht="11.25">
      <c r="A310" s="1859" t="s">
        <v>2335</v>
      </c>
      <c r="B310" s="1859" t="s">
        <v>16</v>
      </c>
      <c r="C310" s="1859" t="s">
        <v>3083</v>
      </c>
      <c r="D310" s="1859" t="s">
        <v>3084</v>
      </c>
      <c r="E310" s="1859" t="s">
        <v>3085</v>
      </c>
      <c r="F310" s="1859" t="s">
        <v>2576</v>
      </c>
      <c r="G310" s="1859" t="s">
        <v>22</v>
      </c>
      <c r="H310" s="1859" t="s">
        <v>22</v>
      </c>
      <c r="I310" s="1859" t="s">
        <v>956</v>
      </c>
    </row>
    <row customHeight="1" ht="11.25">
      <c r="A311" s="1859" t="s">
        <v>2335</v>
      </c>
      <c r="B311" s="1859" t="s">
        <v>16</v>
      </c>
      <c r="C311" s="1859" t="s">
        <v>3086</v>
      </c>
      <c r="D311" s="1859" t="s">
        <v>3087</v>
      </c>
      <c r="E311" s="1859" t="s">
        <v>3088</v>
      </c>
      <c r="F311" s="1859" t="s">
        <v>2395</v>
      </c>
      <c r="G311" s="1859" t="s">
        <v>22</v>
      </c>
      <c r="H311" s="1859" t="s">
        <v>22</v>
      </c>
      <c r="I311" s="1859" t="s">
        <v>956</v>
      </c>
    </row>
    <row customHeight="1" ht="11.25">
      <c r="A312" s="1859" t="s">
        <v>2335</v>
      </c>
      <c r="B312" s="1859" t="s">
        <v>16</v>
      </c>
      <c r="C312" s="1859" t="s">
        <v>3089</v>
      </c>
      <c r="D312" s="1859" t="s">
        <v>3090</v>
      </c>
      <c r="E312" s="1859" t="s">
        <v>3091</v>
      </c>
      <c r="F312" s="1859" t="s">
        <v>2395</v>
      </c>
      <c r="G312" s="1859" t="s">
        <v>3092</v>
      </c>
      <c r="H312" s="1859" t="s">
        <v>22</v>
      </c>
      <c r="I312" s="1859" t="s">
        <v>956</v>
      </c>
    </row>
    <row customHeight="1" ht="11.25">
      <c r="A313" s="1859" t="s">
        <v>2335</v>
      </c>
      <c r="B313" s="1859" t="s">
        <v>16</v>
      </c>
      <c r="C313" s="1859" t="s">
        <v>3093</v>
      </c>
      <c r="D313" s="1859" t="s">
        <v>3094</v>
      </c>
      <c r="E313" s="1859" t="s">
        <v>3095</v>
      </c>
      <c r="F313" s="1859" t="s">
        <v>2513</v>
      </c>
      <c r="G313" s="1859" t="s">
        <v>22</v>
      </c>
      <c r="H313" s="1859" t="s">
        <v>22</v>
      </c>
      <c r="I313" s="1859" t="s">
        <v>956</v>
      </c>
    </row>
    <row customHeight="1" ht="11.25">
      <c r="A314" s="1859" t="s">
        <v>2335</v>
      </c>
      <c r="B314" s="1859" t="s">
        <v>16</v>
      </c>
      <c r="C314" s="1859" t="s">
        <v>3096</v>
      </c>
      <c r="D314" s="1859" t="s">
        <v>3097</v>
      </c>
      <c r="E314" s="1859" t="s">
        <v>3098</v>
      </c>
      <c r="F314" s="1859" t="s">
        <v>2513</v>
      </c>
      <c r="G314" s="1859" t="s">
        <v>22</v>
      </c>
      <c r="H314" s="1859" t="s">
        <v>22</v>
      </c>
      <c r="I314" s="1859" t="s">
        <v>956</v>
      </c>
    </row>
    <row customHeight="1" ht="11.25">
      <c r="A315" s="1859" t="s">
        <v>2335</v>
      </c>
      <c r="B315" s="1859" t="s">
        <v>16</v>
      </c>
      <c r="C315" s="1859" t="s">
        <v>3099</v>
      </c>
      <c r="D315" s="1859" t="s">
        <v>3100</v>
      </c>
      <c r="E315" s="1859" t="s">
        <v>3101</v>
      </c>
      <c r="F315" s="1859" t="s">
        <v>2513</v>
      </c>
      <c r="G315" s="1859" t="s">
        <v>22</v>
      </c>
      <c r="H315" s="1859" t="s">
        <v>22</v>
      </c>
      <c r="I315" s="1859" t="s">
        <v>956</v>
      </c>
    </row>
    <row customHeight="1" ht="11.25">
      <c r="A316" s="1859" t="s">
        <v>2335</v>
      </c>
      <c r="B316" s="1859" t="s">
        <v>16</v>
      </c>
      <c r="C316" s="1859" t="s">
        <v>3102</v>
      </c>
      <c r="D316" s="1859" t="s">
        <v>3103</v>
      </c>
      <c r="E316" s="1859" t="s">
        <v>3104</v>
      </c>
      <c r="F316" s="1859" t="s">
        <v>2513</v>
      </c>
      <c r="G316" s="1859" t="s">
        <v>22</v>
      </c>
      <c r="H316" s="1859" t="s">
        <v>22</v>
      </c>
      <c r="I316" s="1859" t="s">
        <v>956</v>
      </c>
    </row>
    <row customHeight="1" ht="11.25">
      <c r="A317" s="1859" t="s">
        <v>2335</v>
      </c>
      <c r="B317" s="1859" t="s">
        <v>16</v>
      </c>
      <c r="C317" s="1859" t="s">
        <v>3105</v>
      </c>
      <c r="D317" s="1859" t="s">
        <v>3106</v>
      </c>
      <c r="E317" s="1859" t="s">
        <v>3107</v>
      </c>
      <c r="F317" s="1859" t="s">
        <v>2513</v>
      </c>
      <c r="G317" s="1859" t="s">
        <v>22</v>
      </c>
      <c r="H317" s="1859" t="s">
        <v>22</v>
      </c>
      <c r="I317" s="1859" t="s">
        <v>956</v>
      </c>
    </row>
    <row customHeight="1" ht="11.25">
      <c r="A318" s="1859" t="s">
        <v>2335</v>
      </c>
      <c r="B318" s="1859" t="s">
        <v>16</v>
      </c>
      <c r="C318" s="1859" t="s">
        <v>2557</v>
      </c>
      <c r="D318" s="1859" t="s">
        <v>2558</v>
      </c>
      <c r="E318" s="1859" t="s">
        <v>2559</v>
      </c>
      <c r="F318" s="1859" t="s">
        <v>2560</v>
      </c>
      <c r="G318" s="1859" t="s">
        <v>22</v>
      </c>
      <c r="H318" s="1859" t="s">
        <v>22</v>
      </c>
      <c r="I318" s="1859" t="s">
        <v>956</v>
      </c>
    </row>
    <row customHeight="1" ht="11.25">
      <c r="A319" s="1859" t="s">
        <v>2335</v>
      </c>
      <c r="B319" s="1859" t="s">
        <v>16</v>
      </c>
      <c r="C319" s="1859" t="s">
        <v>3108</v>
      </c>
      <c r="D319" s="1859" t="s">
        <v>3109</v>
      </c>
      <c r="E319" s="1859" t="s">
        <v>3110</v>
      </c>
      <c r="F319" s="1859" t="s">
        <v>2586</v>
      </c>
      <c r="G319" s="1859" t="s">
        <v>22</v>
      </c>
      <c r="H319" s="1859" t="s">
        <v>22</v>
      </c>
      <c r="I319" s="1859" t="s">
        <v>956</v>
      </c>
    </row>
    <row customHeight="1" ht="11.25">
      <c r="A320" s="1859" t="s">
        <v>2335</v>
      </c>
      <c r="B320" s="1859" t="s">
        <v>16</v>
      </c>
      <c r="C320" s="1859" t="s">
        <v>3111</v>
      </c>
      <c r="D320" s="1859" t="s">
        <v>3112</v>
      </c>
      <c r="E320" s="1859" t="s">
        <v>3113</v>
      </c>
      <c r="F320" s="1859" t="s">
        <v>2513</v>
      </c>
      <c r="G320" s="1859" t="s">
        <v>22</v>
      </c>
      <c r="H320" s="1859" t="s">
        <v>22</v>
      </c>
      <c r="I320" s="1859" t="s">
        <v>956</v>
      </c>
    </row>
    <row customHeight="1" ht="11.25">
      <c r="A321" s="1859" t="s">
        <v>2335</v>
      </c>
      <c r="B321" s="1859" t="s">
        <v>16</v>
      </c>
      <c r="C321" s="1859" t="s">
        <v>3114</v>
      </c>
      <c r="D321" s="1859" t="s">
        <v>3115</v>
      </c>
      <c r="E321" s="1859" t="s">
        <v>3116</v>
      </c>
      <c r="F321" s="1859" t="s">
        <v>2513</v>
      </c>
      <c r="G321" s="1859" t="s">
        <v>22</v>
      </c>
      <c r="H321" s="1859" t="s">
        <v>22</v>
      </c>
      <c r="I321" s="1859" t="s">
        <v>956</v>
      </c>
    </row>
    <row customHeight="1" ht="11.25">
      <c r="A322" s="1859" t="s">
        <v>2335</v>
      </c>
      <c r="B322" s="1859" t="s">
        <v>16</v>
      </c>
      <c r="C322" s="1859" t="s">
        <v>3117</v>
      </c>
      <c r="D322" s="1859" t="s">
        <v>3118</v>
      </c>
      <c r="E322" s="1859" t="s">
        <v>3119</v>
      </c>
      <c r="F322" s="1859" t="s">
        <v>2395</v>
      </c>
      <c r="G322" s="1859" t="s">
        <v>3120</v>
      </c>
      <c r="H322" s="1859" t="s">
        <v>22</v>
      </c>
      <c r="I322" s="1859" t="s">
        <v>956</v>
      </c>
    </row>
    <row customHeight="1" ht="11.25">
      <c r="A323" s="1859" t="s">
        <v>2335</v>
      </c>
      <c r="B323" s="1859" t="s">
        <v>16</v>
      </c>
      <c r="C323" s="1859" t="s">
        <v>2561</v>
      </c>
      <c r="D323" s="1859" t="s">
        <v>2562</v>
      </c>
      <c r="E323" s="1859" t="s">
        <v>2563</v>
      </c>
      <c r="F323" s="1859" t="s">
        <v>2372</v>
      </c>
      <c r="G323" s="1859" t="s">
        <v>2564</v>
      </c>
      <c r="H323" s="1859" t="s">
        <v>2565</v>
      </c>
      <c r="I323" s="1859" t="s">
        <v>956</v>
      </c>
    </row>
    <row customHeight="1" ht="11.25">
      <c r="A324" s="1859" t="s">
        <v>2335</v>
      </c>
      <c r="B324" s="1859" t="s">
        <v>16</v>
      </c>
      <c r="C324" s="1859" t="s">
        <v>3121</v>
      </c>
      <c r="D324" s="1859" t="s">
        <v>3122</v>
      </c>
      <c r="E324" s="1859" t="s">
        <v>3123</v>
      </c>
      <c r="F324" s="1859" t="s">
        <v>3124</v>
      </c>
      <c r="G324" s="1859" t="s">
        <v>3125</v>
      </c>
      <c r="H324" s="1859" t="s">
        <v>22</v>
      </c>
      <c r="I324" s="1859" t="s">
        <v>956</v>
      </c>
    </row>
    <row customHeight="1" ht="11.25">
      <c r="A325" s="1859" t="s">
        <v>2335</v>
      </c>
      <c r="B325" s="1859" t="s">
        <v>16</v>
      </c>
      <c r="C325" s="1859" t="s">
        <v>3126</v>
      </c>
      <c r="D325" s="1859" t="s">
        <v>3127</v>
      </c>
      <c r="E325" s="1859" t="s">
        <v>3128</v>
      </c>
      <c r="F325" s="1859" t="s">
        <v>2513</v>
      </c>
      <c r="G325" s="1859" t="s">
        <v>22</v>
      </c>
      <c r="H325" s="1859" t="s">
        <v>22</v>
      </c>
      <c r="I325" s="1859" t="s">
        <v>956</v>
      </c>
    </row>
    <row customHeight="1" ht="11.25">
      <c r="A326" s="1859" t="s">
        <v>2335</v>
      </c>
      <c r="B326" s="1859" t="s">
        <v>16</v>
      </c>
      <c r="C326" s="1859" t="s">
        <v>3129</v>
      </c>
      <c r="D326" s="1859" t="s">
        <v>3130</v>
      </c>
      <c r="E326" s="1859" t="s">
        <v>3131</v>
      </c>
      <c r="F326" s="1859" t="s">
        <v>2395</v>
      </c>
      <c r="G326" s="1859" t="s">
        <v>3132</v>
      </c>
      <c r="H326" s="1859" t="s">
        <v>22</v>
      </c>
      <c r="I326" s="1859" t="s">
        <v>956</v>
      </c>
    </row>
    <row customHeight="1" ht="11.25">
      <c r="A327" s="1859" t="s">
        <v>2335</v>
      </c>
      <c r="B327" s="1859" t="s">
        <v>16</v>
      </c>
      <c r="C327" s="1859" t="s">
        <v>3133</v>
      </c>
      <c r="D327" s="1859" t="s">
        <v>3134</v>
      </c>
      <c r="E327" s="1859" t="s">
        <v>3135</v>
      </c>
      <c r="F327" s="1859" t="s">
        <v>2395</v>
      </c>
      <c r="G327" s="1859" t="s">
        <v>3136</v>
      </c>
      <c r="H327" s="1859" t="s">
        <v>22</v>
      </c>
      <c r="I327" s="1859" t="s">
        <v>956</v>
      </c>
    </row>
    <row customHeight="1" ht="11.25">
      <c r="A328" s="1859" t="s">
        <v>2335</v>
      </c>
      <c r="B328" s="1859" t="s">
        <v>16</v>
      </c>
      <c r="C328" s="1859" t="s">
        <v>3137</v>
      </c>
      <c r="D328" s="1859" t="s">
        <v>3138</v>
      </c>
      <c r="E328" s="1859" t="s">
        <v>3139</v>
      </c>
      <c r="F328" s="1859" t="s">
        <v>2395</v>
      </c>
      <c r="G328" s="1859" t="s">
        <v>22</v>
      </c>
      <c r="H328" s="1859" t="s">
        <v>22</v>
      </c>
      <c r="I328" s="1859" t="s">
        <v>956</v>
      </c>
    </row>
    <row customHeight="1" ht="11.25">
      <c r="A329" s="1859" t="s">
        <v>2335</v>
      </c>
      <c r="B329" s="1859" t="s">
        <v>16</v>
      </c>
      <c r="C329" s="1859" t="s">
        <v>3140</v>
      </c>
      <c r="D329" s="1859" t="s">
        <v>3141</v>
      </c>
      <c r="E329" s="1859" t="s">
        <v>3142</v>
      </c>
      <c r="F329" s="1859" t="s">
        <v>2395</v>
      </c>
      <c r="G329" s="1859" t="s">
        <v>22</v>
      </c>
      <c r="H329" s="1859" t="s">
        <v>22</v>
      </c>
      <c r="I329" s="1859" t="s">
        <v>956</v>
      </c>
    </row>
    <row customHeight="1" ht="11.25">
      <c r="A330" s="1859" t="s">
        <v>2335</v>
      </c>
      <c r="B330" s="1859" t="s">
        <v>16</v>
      </c>
      <c r="C330" s="1859" t="s">
        <v>3143</v>
      </c>
      <c r="D330" s="1859" t="s">
        <v>3144</v>
      </c>
      <c r="E330" s="1859" t="s">
        <v>3145</v>
      </c>
      <c r="F330" s="1859" t="s">
        <v>2395</v>
      </c>
      <c r="G330" s="1859" t="s">
        <v>3146</v>
      </c>
      <c r="H330" s="1859" t="s">
        <v>22</v>
      </c>
      <c r="I330" s="1859" t="s">
        <v>956</v>
      </c>
    </row>
    <row customHeight="1" ht="11.25">
      <c r="A331" s="1859" t="s">
        <v>2335</v>
      </c>
      <c r="B331" s="1859" t="s">
        <v>16</v>
      </c>
      <c r="C331" s="1859" t="s">
        <v>3147</v>
      </c>
      <c r="D331" s="1859" t="s">
        <v>3148</v>
      </c>
      <c r="E331" s="1859" t="s">
        <v>3149</v>
      </c>
      <c r="F331" s="1859" t="s">
        <v>2395</v>
      </c>
      <c r="G331" s="1859" t="s">
        <v>22</v>
      </c>
      <c r="H331" s="1859" t="s">
        <v>22</v>
      </c>
      <c r="I331" s="1859" t="s">
        <v>956</v>
      </c>
    </row>
    <row customHeight="1" ht="11.25">
      <c r="A332" s="1859" t="s">
        <v>2335</v>
      </c>
      <c r="B332" s="1859" t="s">
        <v>16</v>
      </c>
      <c r="C332" s="1859" t="s">
        <v>3150</v>
      </c>
      <c r="D332" s="1859" t="s">
        <v>3151</v>
      </c>
      <c r="E332" s="1859" t="s">
        <v>3152</v>
      </c>
      <c r="F332" s="1859" t="s">
        <v>2395</v>
      </c>
      <c r="G332" s="1859" t="s">
        <v>22</v>
      </c>
      <c r="H332" s="1859" t="s">
        <v>22</v>
      </c>
      <c r="I332" s="1859" t="s">
        <v>956</v>
      </c>
    </row>
    <row customHeight="1" ht="11.25">
      <c r="A333" s="1859" t="s">
        <v>2335</v>
      </c>
      <c r="B333" s="1859" t="s">
        <v>16</v>
      </c>
      <c r="C333" s="1859" t="s">
        <v>3153</v>
      </c>
      <c r="D333" s="1859" t="s">
        <v>3151</v>
      </c>
      <c r="E333" s="1859" t="s">
        <v>3154</v>
      </c>
      <c r="F333" s="1859" t="s">
        <v>2513</v>
      </c>
      <c r="G333" s="1859" t="s">
        <v>22</v>
      </c>
      <c r="H333" s="1859" t="s">
        <v>22</v>
      </c>
      <c r="I333" s="1859" t="s">
        <v>956</v>
      </c>
    </row>
    <row customHeight="1" ht="11.25">
      <c r="A334" s="1859" t="s">
        <v>2335</v>
      </c>
      <c r="B334" s="1859" t="s">
        <v>16</v>
      </c>
      <c r="C334" s="1859" t="s">
        <v>3155</v>
      </c>
      <c r="D334" s="1859" t="s">
        <v>3151</v>
      </c>
      <c r="E334" s="1859" t="s">
        <v>3156</v>
      </c>
      <c r="F334" s="1859" t="s">
        <v>2513</v>
      </c>
      <c r="G334" s="1859" t="s">
        <v>22</v>
      </c>
      <c r="H334" s="1859" t="s">
        <v>22</v>
      </c>
      <c r="I334" s="1859" t="s">
        <v>956</v>
      </c>
    </row>
    <row customHeight="1" ht="11.25">
      <c r="A335" s="1859" t="s">
        <v>2335</v>
      </c>
      <c r="B335" s="1859" t="s">
        <v>16</v>
      </c>
      <c r="C335" s="1859" t="s">
        <v>3157</v>
      </c>
      <c r="D335" s="1859" t="s">
        <v>3158</v>
      </c>
      <c r="E335" s="1859" t="s">
        <v>3159</v>
      </c>
      <c r="F335" s="1859" t="s">
        <v>2942</v>
      </c>
      <c r="G335" s="1859" t="s">
        <v>22</v>
      </c>
      <c r="H335" s="1859" t="s">
        <v>22</v>
      </c>
      <c r="I335" s="1859" t="s">
        <v>956</v>
      </c>
    </row>
    <row customHeight="1" ht="11.25">
      <c r="A336" s="1859" t="s">
        <v>2335</v>
      </c>
      <c r="B336" s="1859" t="s">
        <v>16</v>
      </c>
      <c r="C336" s="1859" t="s">
        <v>3160</v>
      </c>
      <c r="D336" s="1859" t="s">
        <v>3161</v>
      </c>
      <c r="E336" s="1859" t="s">
        <v>3162</v>
      </c>
      <c r="F336" s="1859" t="s">
        <v>2395</v>
      </c>
      <c r="G336" s="1859" t="s">
        <v>3163</v>
      </c>
      <c r="H336" s="1859" t="s">
        <v>22</v>
      </c>
      <c r="I336" s="1859" t="s">
        <v>956</v>
      </c>
    </row>
    <row customHeight="1" ht="11.25">
      <c r="A337" s="1859" t="s">
        <v>2335</v>
      </c>
      <c r="B337" s="1859" t="s">
        <v>16</v>
      </c>
      <c r="C337" s="1859" t="s">
        <v>3164</v>
      </c>
      <c r="D337" s="1859" t="s">
        <v>3165</v>
      </c>
      <c r="E337" s="1859" t="s">
        <v>3166</v>
      </c>
      <c r="F337" s="1859" t="s">
        <v>2513</v>
      </c>
      <c r="G337" s="1859" t="s">
        <v>22</v>
      </c>
      <c r="H337" s="1859" t="s">
        <v>22</v>
      </c>
      <c r="I337" s="1859" t="s">
        <v>956</v>
      </c>
    </row>
    <row customHeight="1" ht="11.25">
      <c r="A338" s="1859" t="s">
        <v>2335</v>
      </c>
      <c r="B338" s="1859" t="s">
        <v>16</v>
      </c>
      <c r="C338" s="1859" t="s">
        <v>3167</v>
      </c>
      <c r="D338" s="1859" t="s">
        <v>3168</v>
      </c>
      <c r="E338" s="1859" t="s">
        <v>3169</v>
      </c>
      <c r="F338" s="1859" t="s">
        <v>2395</v>
      </c>
      <c r="G338" s="1859" t="s">
        <v>22</v>
      </c>
      <c r="H338" s="1859" t="s">
        <v>22</v>
      </c>
      <c r="I338" s="1859" t="s">
        <v>956</v>
      </c>
    </row>
    <row customHeight="1" ht="11.25">
      <c r="A339" s="1859" t="s">
        <v>2335</v>
      </c>
      <c r="B339" s="1859" t="s">
        <v>16</v>
      </c>
      <c r="C339" s="1859" t="s">
        <v>2577</v>
      </c>
      <c r="D339" s="1859" t="s">
        <v>2578</v>
      </c>
      <c r="E339" s="1859" t="s">
        <v>2579</v>
      </c>
      <c r="F339" s="1859" t="s">
        <v>2576</v>
      </c>
      <c r="G339" s="1859" t="s">
        <v>22</v>
      </c>
      <c r="H339" s="1859" t="s">
        <v>22</v>
      </c>
      <c r="I339" s="1859" t="s">
        <v>956</v>
      </c>
    </row>
    <row customHeight="1" ht="11.25">
      <c r="A340" s="1859" t="s">
        <v>2335</v>
      </c>
      <c r="B340" s="1859" t="s">
        <v>16</v>
      </c>
      <c r="C340" s="1859" t="s">
        <v>3170</v>
      </c>
      <c r="D340" s="1859" t="s">
        <v>3171</v>
      </c>
      <c r="E340" s="1859" t="s">
        <v>3172</v>
      </c>
      <c r="F340" s="1859" t="s">
        <v>3173</v>
      </c>
      <c r="G340" s="1859" t="s">
        <v>22</v>
      </c>
      <c r="H340" s="1859" t="s">
        <v>22</v>
      </c>
      <c r="I340" s="1859" t="s">
        <v>956</v>
      </c>
    </row>
    <row customHeight="1" ht="11.25">
      <c r="A341" s="1859" t="s">
        <v>2335</v>
      </c>
      <c r="B341" s="1859" t="s">
        <v>16</v>
      </c>
      <c r="C341" s="1859" t="s">
        <v>2580</v>
      </c>
      <c r="D341" s="1859" t="s">
        <v>2581</v>
      </c>
      <c r="E341" s="1859" t="s">
        <v>2582</v>
      </c>
      <c r="F341" s="1859" t="s">
        <v>2395</v>
      </c>
      <c r="G341" s="1859" t="s">
        <v>22</v>
      </c>
      <c r="H341" s="1859" t="s">
        <v>22</v>
      </c>
      <c r="I341" s="1859" t="s">
        <v>956</v>
      </c>
    </row>
    <row customHeight="1" ht="11.25">
      <c r="A342" s="1859" t="s">
        <v>2335</v>
      </c>
      <c r="B342" s="1859" t="s">
        <v>16</v>
      </c>
      <c r="C342" s="1859" t="s">
        <v>3174</v>
      </c>
      <c r="D342" s="1859" t="s">
        <v>3175</v>
      </c>
      <c r="E342" s="1859" t="s">
        <v>3176</v>
      </c>
      <c r="F342" s="1859" t="s">
        <v>51</v>
      </c>
      <c r="G342" s="1859" t="s">
        <v>22</v>
      </c>
      <c r="H342" s="1859" t="s">
        <v>22</v>
      </c>
      <c r="I342" s="1859" t="s">
        <v>956</v>
      </c>
    </row>
    <row customHeight="1" ht="11.25">
      <c r="A343" s="1859" t="s">
        <v>2335</v>
      </c>
      <c r="B343" s="1859" t="s">
        <v>16</v>
      </c>
      <c r="C343" s="1859" t="s">
        <v>2583</v>
      </c>
      <c r="D343" s="1859" t="s">
        <v>2584</v>
      </c>
      <c r="E343" s="1859" t="s">
        <v>2585</v>
      </c>
      <c r="F343" s="1859" t="s">
        <v>2586</v>
      </c>
      <c r="G343" s="1859" t="s">
        <v>22</v>
      </c>
      <c r="H343" s="1859" t="s">
        <v>22</v>
      </c>
      <c r="I343" s="1859" t="s">
        <v>956</v>
      </c>
    </row>
    <row customHeight="1" ht="11.25">
      <c r="A344" s="1859" t="s">
        <v>2335</v>
      </c>
      <c r="B344" s="1859" t="s">
        <v>16</v>
      </c>
      <c r="C344" s="1859" t="s">
        <v>2587</v>
      </c>
      <c r="D344" s="1859" t="s">
        <v>2588</v>
      </c>
      <c r="E344" s="1859" t="s">
        <v>2589</v>
      </c>
      <c r="F344" s="1859" t="s">
        <v>2586</v>
      </c>
      <c r="G344" s="1859" t="s">
        <v>22</v>
      </c>
      <c r="H344" s="1859" t="s">
        <v>22</v>
      </c>
      <c r="I344" s="1859" t="s">
        <v>956</v>
      </c>
    </row>
    <row customHeight="1" ht="11.25">
      <c r="A345" s="1859" t="s">
        <v>2335</v>
      </c>
      <c r="B345" s="1859" t="s">
        <v>16</v>
      </c>
      <c r="C345" s="1859" t="s">
        <v>2590</v>
      </c>
      <c r="D345" s="1859" t="s">
        <v>2591</v>
      </c>
      <c r="E345" s="1859" t="s">
        <v>2592</v>
      </c>
      <c r="F345" s="1859" t="s">
        <v>2560</v>
      </c>
      <c r="G345" s="1859" t="s">
        <v>22</v>
      </c>
      <c r="H345" s="1859" t="s">
        <v>22</v>
      </c>
      <c r="I345" s="1859" t="s">
        <v>956</v>
      </c>
    </row>
    <row customHeight="1" ht="11.25">
      <c r="A346" s="1859" t="s">
        <v>2335</v>
      </c>
      <c r="B346" s="1859" t="s">
        <v>16</v>
      </c>
      <c r="C346" s="1859" t="s">
        <v>2593</v>
      </c>
      <c r="D346" s="1859" t="s">
        <v>2594</v>
      </c>
      <c r="E346" s="1859" t="s">
        <v>2595</v>
      </c>
      <c r="F346" s="1859" t="s">
        <v>2576</v>
      </c>
      <c r="G346" s="1859" t="s">
        <v>22</v>
      </c>
      <c r="H346" s="1859" t="s">
        <v>22</v>
      </c>
      <c r="I346" s="1859" t="s">
        <v>956</v>
      </c>
    </row>
    <row customHeight="1" ht="11.25">
      <c r="A347" s="1859" t="s">
        <v>2335</v>
      </c>
      <c r="B347" s="1859" t="s">
        <v>16</v>
      </c>
      <c r="C347" s="1859" t="s">
        <v>2599</v>
      </c>
      <c r="D347" s="1859" t="s">
        <v>2600</v>
      </c>
      <c r="E347" s="1859" t="s">
        <v>2601</v>
      </c>
      <c r="F347" s="1859" t="s">
        <v>2586</v>
      </c>
      <c r="G347" s="1859" t="s">
        <v>22</v>
      </c>
      <c r="H347" s="1859" t="s">
        <v>22</v>
      </c>
      <c r="I347" s="1859" t="s">
        <v>956</v>
      </c>
    </row>
    <row customHeight="1" ht="11.25">
      <c r="A348" s="1859" t="s">
        <v>2335</v>
      </c>
      <c r="B348" s="1859" t="s">
        <v>16</v>
      </c>
      <c r="C348" s="1859" t="s">
        <v>2602</v>
      </c>
      <c r="D348" s="1859" t="s">
        <v>2603</v>
      </c>
      <c r="E348" s="1859" t="s">
        <v>2604</v>
      </c>
      <c r="F348" s="1859" t="s">
        <v>2605</v>
      </c>
      <c r="G348" s="1859" t="s">
        <v>22</v>
      </c>
      <c r="H348" s="1859" t="s">
        <v>22</v>
      </c>
      <c r="I348" s="1859" t="s">
        <v>956</v>
      </c>
    </row>
    <row customHeight="1" ht="11.25">
      <c r="A349" s="1859" t="s">
        <v>2335</v>
      </c>
      <c r="B349" s="1859" t="s">
        <v>16</v>
      </c>
      <c r="C349" s="1859" t="s">
        <v>2606</v>
      </c>
      <c r="D349" s="1859" t="s">
        <v>2607</v>
      </c>
      <c r="E349" s="1859" t="s">
        <v>2608</v>
      </c>
      <c r="F349" s="1859" t="s">
        <v>2586</v>
      </c>
      <c r="G349" s="1859" t="s">
        <v>22</v>
      </c>
      <c r="H349" s="1859" t="s">
        <v>22</v>
      </c>
      <c r="I349" s="1859" t="s">
        <v>956</v>
      </c>
    </row>
    <row customHeight="1" ht="11.25">
      <c r="A350" s="1859" t="s">
        <v>2335</v>
      </c>
      <c r="B350" s="1859" t="s">
        <v>16</v>
      </c>
      <c r="C350" s="1859" t="s">
        <v>2609</v>
      </c>
      <c r="D350" s="1859" t="s">
        <v>2610</v>
      </c>
      <c r="E350" s="1859" t="s">
        <v>2611</v>
      </c>
      <c r="F350" s="1859" t="s">
        <v>2518</v>
      </c>
      <c r="G350" s="1859" t="s">
        <v>2612</v>
      </c>
      <c r="H350" s="1859" t="s">
        <v>2613</v>
      </c>
      <c r="I350" s="1859" t="s">
        <v>956</v>
      </c>
    </row>
    <row customHeight="1" ht="11.25">
      <c r="A351" s="1859" t="s">
        <v>2335</v>
      </c>
      <c r="B351" s="1859" t="s">
        <v>16</v>
      </c>
      <c r="C351" s="1859" t="s">
        <v>2624</v>
      </c>
      <c r="D351" s="1859" t="s">
        <v>2625</v>
      </c>
      <c r="E351" s="1859" t="s">
        <v>2626</v>
      </c>
      <c r="F351" s="1859" t="s">
        <v>2395</v>
      </c>
      <c r="G351" s="1859" t="s">
        <v>22</v>
      </c>
      <c r="H351" s="1859" t="s">
        <v>22</v>
      </c>
      <c r="I351" s="1859" t="s">
        <v>956</v>
      </c>
    </row>
    <row customHeight="1" ht="11.25">
      <c r="A352" s="1859" t="s">
        <v>2335</v>
      </c>
      <c r="B352" s="1859" t="s">
        <v>16</v>
      </c>
      <c r="C352" s="1859" t="s">
        <v>3177</v>
      </c>
      <c r="D352" s="1859" t="s">
        <v>3178</v>
      </c>
      <c r="E352" s="1859" t="s">
        <v>3179</v>
      </c>
      <c r="F352" s="1859" t="s">
        <v>2395</v>
      </c>
      <c r="G352" s="1859" t="s">
        <v>22</v>
      </c>
      <c r="H352" s="1859" t="s">
        <v>22</v>
      </c>
      <c r="I352" s="1859" t="s">
        <v>956</v>
      </c>
    </row>
    <row customHeight="1" ht="11.25">
      <c r="A353" s="1859" t="s">
        <v>2335</v>
      </c>
      <c r="B353" s="1859" t="s">
        <v>16</v>
      </c>
      <c r="C353" s="1859" t="s">
        <v>3180</v>
      </c>
      <c r="D353" s="1859" t="s">
        <v>3181</v>
      </c>
      <c r="E353" s="1859" t="s">
        <v>3182</v>
      </c>
      <c r="F353" s="1859" t="s">
        <v>2513</v>
      </c>
      <c r="G353" s="1859" t="s">
        <v>22</v>
      </c>
      <c r="H353" s="1859" t="s">
        <v>22</v>
      </c>
      <c r="I353" s="1859" t="s">
        <v>956</v>
      </c>
    </row>
    <row customHeight="1" ht="11.25">
      <c r="A354" s="1859" t="s">
        <v>2335</v>
      </c>
      <c r="B354" s="1859" t="s">
        <v>16</v>
      </c>
      <c r="C354" s="1859" t="s">
        <v>3183</v>
      </c>
      <c r="D354" s="1859" t="s">
        <v>3184</v>
      </c>
      <c r="E354" s="1859" t="s">
        <v>3185</v>
      </c>
      <c r="F354" s="1859" t="s">
        <v>2513</v>
      </c>
      <c r="G354" s="1859" t="s">
        <v>22</v>
      </c>
      <c r="H354" s="1859" t="s">
        <v>22</v>
      </c>
      <c r="I354" s="1859" t="s">
        <v>956</v>
      </c>
    </row>
    <row customHeight="1" ht="11.25">
      <c r="A355" s="1859" t="s">
        <v>2335</v>
      </c>
      <c r="B355" s="1859" t="s">
        <v>16</v>
      </c>
      <c r="C355" s="1859" t="s">
        <v>3186</v>
      </c>
      <c r="D355" s="1859" t="s">
        <v>3187</v>
      </c>
      <c r="E355" s="1859" t="s">
        <v>3188</v>
      </c>
      <c r="F355" s="1859" t="s">
        <v>2395</v>
      </c>
      <c r="G355" s="1859" t="s">
        <v>22</v>
      </c>
      <c r="H355" s="1859" t="s">
        <v>22</v>
      </c>
      <c r="I355" s="1859" t="s">
        <v>956</v>
      </c>
    </row>
    <row customHeight="1" ht="11.25">
      <c r="A356" s="1859" t="s">
        <v>2335</v>
      </c>
      <c r="B356" s="1859" t="s">
        <v>16</v>
      </c>
      <c r="C356" s="1859" t="s">
        <v>3189</v>
      </c>
      <c r="D356" s="1859" t="s">
        <v>3190</v>
      </c>
      <c r="E356" s="1859" t="s">
        <v>3191</v>
      </c>
      <c r="F356" s="1859" t="s">
        <v>2395</v>
      </c>
      <c r="G356" s="1859" t="s">
        <v>22</v>
      </c>
      <c r="H356" s="1859" t="s">
        <v>22</v>
      </c>
      <c r="I356" s="1859" t="s">
        <v>956</v>
      </c>
    </row>
    <row customHeight="1" ht="11.25">
      <c r="A357" s="1859" t="s">
        <v>2335</v>
      </c>
      <c r="B357" s="1859" t="s">
        <v>16</v>
      </c>
      <c r="C357" s="1859" t="s">
        <v>2627</v>
      </c>
      <c r="D357" s="1859" t="s">
        <v>2628</v>
      </c>
      <c r="E357" s="1859" t="s">
        <v>2629</v>
      </c>
      <c r="F357" s="1859" t="s">
        <v>2469</v>
      </c>
      <c r="G357" s="1859" t="s">
        <v>22</v>
      </c>
      <c r="H357" s="1859" t="s">
        <v>2630</v>
      </c>
      <c r="I357" s="1859" t="s">
        <v>956</v>
      </c>
    </row>
    <row customHeight="1" ht="11.25">
      <c r="A358" s="1859" t="s">
        <v>2335</v>
      </c>
      <c r="B358" s="1859" t="s">
        <v>16</v>
      </c>
      <c r="C358" s="1859" t="s">
        <v>2631</v>
      </c>
      <c r="D358" s="1859" t="s">
        <v>2632</v>
      </c>
      <c r="E358" s="1859" t="s">
        <v>2633</v>
      </c>
      <c r="F358" s="1859" t="s">
        <v>2634</v>
      </c>
      <c r="G358" s="1859" t="s">
        <v>22</v>
      </c>
      <c r="H358" s="1859" t="s">
        <v>22</v>
      </c>
      <c r="I358" s="1859" t="s">
        <v>956</v>
      </c>
    </row>
    <row customHeight="1" ht="11.25">
      <c r="A359" s="1859" t="s">
        <v>2335</v>
      </c>
      <c r="B359" s="1859" t="s">
        <v>16</v>
      </c>
      <c r="C359" s="1859" t="s">
        <v>3192</v>
      </c>
      <c r="D359" s="1859" t="s">
        <v>3193</v>
      </c>
      <c r="E359" s="1859" t="s">
        <v>3194</v>
      </c>
      <c r="F359" s="1859" t="s">
        <v>2513</v>
      </c>
      <c r="G359" s="1859" t="s">
        <v>22</v>
      </c>
      <c r="H359" s="1859" t="s">
        <v>22</v>
      </c>
      <c r="I359" s="1859" t="s">
        <v>956</v>
      </c>
    </row>
    <row customHeight="1" ht="11.25">
      <c r="A360" s="1859" t="s">
        <v>2335</v>
      </c>
      <c r="B360" s="1859" t="s">
        <v>16</v>
      </c>
      <c r="C360" s="1859" t="s">
        <v>3195</v>
      </c>
      <c r="D360" s="1859" t="s">
        <v>3196</v>
      </c>
      <c r="E360" s="1859" t="s">
        <v>3197</v>
      </c>
      <c r="F360" s="1859" t="s">
        <v>2605</v>
      </c>
      <c r="G360" s="1859" t="s">
        <v>3198</v>
      </c>
      <c r="H360" s="1859" t="s">
        <v>22</v>
      </c>
      <c r="I360" s="1859" t="s">
        <v>956</v>
      </c>
    </row>
    <row customHeight="1" ht="11.25">
      <c r="A361" s="1859" t="s">
        <v>2335</v>
      </c>
      <c r="B361" s="1859" t="s">
        <v>16</v>
      </c>
      <c r="C361" s="1859" t="s">
        <v>3199</v>
      </c>
      <c r="D361" s="1859" t="s">
        <v>3200</v>
      </c>
      <c r="E361" s="1859" t="s">
        <v>3201</v>
      </c>
      <c r="F361" s="1859" t="s">
        <v>51</v>
      </c>
      <c r="G361" s="1859" t="s">
        <v>22</v>
      </c>
      <c r="H361" s="1859" t="s">
        <v>22</v>
      </c>
      <c r="I361" s="1859" t="s">
        <v>956</v>
      </c>
    </row>
    <row customHeight="1" ht="11.25">
      <c r="A362" s="1859" t="s">
        <v>2335</v>
      </c>
      <c r="B362" s="1859" t="s">
        <v>16</v>
      </c>
      <c r="C362" s="1859" t="s">
        <v>3202</v>
      </c>
      <c r="D362" s="1859" t="s">
        <v>3203</v>
      </c>
      <c r="E362" s="1859" t="s">
        <v>3204</v>
      </c>
      <c r="F362" s="1859" t="s">
        <v>3205</v>
      </c>
      <c r="G362" s="1859" t="s">
        <v>22</v>
      </c>
      <c r="H362" s="1859" t="s">
        <v>22</v>
      </c>
      <c r="I362" s="1859" t="s">
        <v>956</v>
      </c>
    </row>
    <row customHeight="1" ht="11.25">
      <c r="A363" s="1859" t="s">
        <v>2335</v>
      </c>
      <c r="B363" s="1859" t="s">
        <v>16</v>
      </c>
      <c r="C363" s="1859" t="s">
        <v>3206</v>
      </c>
      <c r="D363" s="1859" t="s">
        <v>3207</v>
      </c>
      <c r="E363" s="1859" t="s">
        <v>3208</v>
      </c>
      <c r="F363" s="1859" t="s">
        <v>2395</v>
      </c>
      <c r="G363" s="1859" t="s">
        <v>22</v>
      </c>
      <c r="H363" s="1859" t="s">
        <v>22</v>
      </c>
      <c r="I363" s="1859" t="s">
        <v>956</v>
      </c>
    </row>
    <row customHeight="1" ht="11.25">
      <c r="A364" s="1859" t="s">
        <v>2335</v>
      </c>
      <c r="B364" s="1859" t="s">
        <v>16</v>
      </c>
      <c r="C364" s="1859" t="s">
        <v>2635</v>
      </c>
      <c r="D364" s="1859" t="s">
        <v>2636</v>
      </c>
      <c r="E364" s="1859" t="s">
        <v>2637</v>
      </c>
      <c r="F364" s="1859" t="s">
        <v>2586</v>
      </c>
      <c r="G364" s="1859" t="s">
        <v>22</v>
      </c>
      <c r="H364" s="1859" t="s">
        <v>22</v>
      </c>
      <c r="I364" s="1859" t="s">
        <v>956</v>
      </c>
    </row>
    <row customHeight="1" ht="11.25">
      <c r="A365" s="1859" t="s">
        <v>2335</v>
      </c>
      <c r="B365" s="1859" t="s">
        <v>16</v>
      </c>
      <c r="C365" s="1859" t="s">
        <v>3209</v>
      </c>
      <c r="D365" s="1859" t="s">
        <v>3210</v>
      </c>
      <c r="E365" s="1859" t="s">
        <v>3211</v>
      </c>
      <c r="F365" s="1859" t="s">
        <v>2395</v>
      </c>
      <c r="G365" s="1859" t="s">
        <v>3212</v>
      </c>
      <c r="H365" s="1859" t="s">
        <v>22</v>
      </c>
      <c r="I365" s="1859" t="s">
        <v>956</v>
      </c>
    </row>
    <row customHeight="1" ht="11.25">
      <c r="A366" s="1859" t="s">
        <v>2335</v>
      </c>
      <c r="B366" s="1859" t="s">
        <v>16</v>
      </c>
      <c r="C366" s="1859" t="s">
        <v>2638</v>
      </c>
      <c r="D366" s="1859" t="s">
        <v>2639</v>
      </c>
      <c r="E366" s="1859" t="s">
        <v>2640</v>
      </c>
      <c r="F366" s="1859" t="s">
        <v>2641</v>
      </c>
      <c r="G366" s="1859" t="s">
        <v>22</v>
      </c>
      <c r="H366" s="1859" t="s">
        <v>22</v>
      </c>
      <c r="I366" s="1859" t="s">
        <v>956</v>
      </c>
    </row>
    <row customHeight="1" ht="11.25">
      <c r="A367" s="1859" t="s">
        <v>2335</v>
      </c>
      <c r="B367" s="1859" t="s">
        <v>16</v>
      </c>
      <c r="C367" s="1859" t="s">
        <v>2993</v>
      </c>
      <c r="D367" s="1859" t="s">
        <v>2994</v>
      </c>
      <c r="E367" s="1859" t="s">
        <v>2995</v>
      </c>
      <c r="F367" s="1859" t="s">
        <v>2518</v>
      </c>
      <c r="G367" s="1859" t="s">
        <v>22</v>
      </c>
      <c r="H367" s="1859" t="s">
        <v>22</v>
      </c>
      <c r="I367" s="1859" t="s">
        <v>956</v>
      </c>
    </row>
    <row customHeight="1" ht="11.25">
      <c r="A368" s="1859" t="s">
        <v>2335</v>
      </c>
      <c r="B368" s="1859" t="s">
        <v>16</v>
      </c>
      <c r="C368" s="1859" t="s">
        <v>3213</v>
      </c>
      <c r="D368" s="1859" t="s">
        <v>3214</v>
      </c>
      <c r="E368" s="1859" t="s">
        <v>3215</v>
      </c>
      <c r="F368" s="1859" t="s">
        <v>2518</v>
      </c>
      <c r="G368" s="1859" t="s">
        <v>22</v>
      </c>
      <c r="H368" s="1859" t="s">
        <v>22</v>
      </c>
      <c r="I368" s="1859" t="s">
        <v>956</v>
      </c>
    </row>
    <row customHeight="1" ht="11.25">
      <c r="A369" s="1859" t="s">
        <v>2335</v>
      </c>
      <c r="B369" s="1859" t="s">
        <v>16</v>
      </c>
      <c r="C369" s="1859" t="s">
        <v>2642</v>
      </c>
      <c r="D369" s="1859" t="s">
        <v>2643</v>
      </c>
      <c r="E369" s="1859" t="s">
        <v>2644</v>
      </c>
      <c r="F369" s="1859" t="s">
        <v>2481</v>
      </c>
      <c r="G369" s="1859" t="s">
        <v>22</v>
      </c>
      <c r="H369" s="1859" t="s">
        <v>22</v>
      </c>
      <c r="I369" s="1859" t="s">
        <v>956</v>
      </c>
    </row>
    <row customHeight="1" ht="11.25">
      <c r="A370" s="1859" t="s">
        <v>2335</v>
      </c>
      <c r="B370" s="1859" t="s">
        <v>16</v>
      </c>
      <c r="C370" s="1859" t="s">
        <v>2645</v>
      </c>
      <c r="D370" s="1859" t="s">
        <v>2646</v>
      </c>
      <c r="E370" s="1859" t="s">
        <v>2647</v>
      </c>
      <c r="F370" s="1859" t="s">
        <v>2518</v>
      </c>
      <c r="G370" s="1859" t="s">
        <v>22</v>
      </c>
      <c r="H370" s="1859" t="s">
        <v>22</v>
      </c>
      <c r="I370" s="1859" t="s">
        <v>956</v>
      </c>
    </row>
    <row customHeight="1" ht="11.25">
      <c r="A371" s="1859" t="s">
        <v>2335</v>
      </c>
      <c r="B371" s="1859" t="s">
        <v>16</v>
      </c>
      <c r="C371" s="1859" t="s">
        <v>3216</v>
      </c>
      <c r="D371" s="1859" t="s">
        <v>3217</v>
      </c>
      <c r="E371" s="1859" t="s">
        <v>3218</v>
      </c>
      <c r="F371" s="1859" t="s">
        <v>51</v>
      </c>
      <c r="G371" s="1859" t="s">
        <v>22</v>
      </c>
      <c r="H371" s="1859" t="s">
        <v>22</v>
      </c>
      <c r="I371" s="1859" t="s">
        <v>956</v>
      </c>
    </row>
    <row customHeight="1" ht="11.25">
      <c r="A372" s="1859" t="s">
        <v>2335</v>
      </c>
      <c r="B372" s="1859" t="s">
        <v>16</v>
      </c>
      <c r="C372" s="1859" t="s">
        <v>3219</v>
      </c>
      <c r="D372" s="1859" t="s">
        <v>3220</v>
      </c>
      <c r="E372" s="1859" t="s">
        <v>3221</v>
      </c>
      <c r="F372" s="1859" t="s">
        <v>2395</v>
      </c>
      <c r="G372" s="1859" t="s">
        <v>22</v>
      </c>
      <c r="H372" s="1859" t="s">
        <v>22</v>
      </c>
      <c r="I372" s="1859" t="s">
        <v>956</v>
      </c>
    </row>
    <row customHeight="1" ht="11.25">
      <c r="A373" s="1859" t="s">
        <v>2335</v>
      </c>
      <c r="B373" s="1859" t="s">
        <v>16</v>
      </c>
      <c r="C373" s="1859" t="s">
        <v>3222</v>
      </c>
      <c r="D373" s="1859" t="s">
        <v>3223</v>
      </c>
      <c r="E373" s="1859" t="s">
        <v>3224</v>
      </c>
      <c r="F373" s="1859" t="s">
        <v>2395</v>
      </c>
      <c r="G373" s="1859" t="s">
        <v>22</v>
      </c>
      <c r="H373" s="1859" t="s">
        <v>22</v>
      </c>
      <c r="I373" s="1859" t="s">
        <v>956</v>
      </c>
    </row>
    <row customHeight="1" ht="11.25">
      <c r="A374" s="1859" t="s">
        <v>2335</v>
      </c>
      <c r="B374" s="1859" t="s">
        <v>16</v>
      </c>
      <c r="C374" s="1859" t="s">
        <v>3225</v>
      </c>
      <c r="D374" s="1859" t="s">
        <v>3226</v>
      </c>
      <c r="E374" s="1859" t="s">
        <v>3227</v>
      </c>
      <c r="F374" s="1859" t="s">
        <v>3205</v>
      </c>
      <c r="G374" s="1859" t="s">
        <v>3228</v>
      </c>
      <c r="H374" s="1859" t="s">
        <v>22</v>
      </c>
      <c r="I374" s="1859" t="s">
        <v>956</v>
      </c>
    </row>
    <row customHeight="1" ht="11.25">
      <c r="A375" s="1859" t="s">
        <v>2335</v>
      </c>
      <c r="B375" s="1859" t="s">
        <v>16</v>
      </c>
      <c r="C375" s="1859" t="s">
        <v>3229</v>
      </c>
      <c r="D375" s="1859" t="s">
        <v>3230</v>
      </c>
      <c r="E375" s="1859" t="s">
        <v>3231</v>
      </c>
      <c r="F375" s="1859" t="s">
        <v>2395</v>
      </c>
      <c r="G375" s="1859" t="s">
        <v>22</v>
      </c>
      <c r="H375" s="1859" t="s">
        <v>22</v>
      </c>
      <c r="I375" s="1859" t="s">
        <v>956</v>
      </c>
    </row>
    <row customHeight="1" ht="11.25">
      <c r="A376" s="1859" t="s">
        <v>2335</v>
      </c>
      <c r="B376" s="1859" t="s">
        <v>16</v>
      </c>
      <c r="C376" s="1859" t="s">
        <v>2662</v>
      </c>
      <c r="D376" s="1859" t="s">
        <v>2663</v>
      </c>
      <c r="E376" s="1859" t="s">
        <v>2664</v>
      </c>
      <c r="F376" s="1859" t="s">
        <v>2665</v>
      </c>
      <c r="G376" s="1859" t="s">
        <v>22</v>
      </c>
      <c r="H376" s="1859" t="s">
        <v>22</v>
      </c>
      <c r="I376" s="1859" t="s">
        <v>956</v>
      </c>
    </row>
    <row customHeight="1" ht="11.25">
      <c r="A377" s="1859" t="s">
        <v>2335</v>
      </c>
      <c r="B377" s="1859" t="s">
        <v>16</v>
      </c>
      <c r="C377" s="1859" t="s">
        <v>3232</v>
      </c>
      <c r="D377" s="1859" t="s">
        <v>3233</v>
      </c>
      <c r="E377" s="1859" t="s">
        <v>3234</v>
      </c>
      <c r="F377" s="1859" t="s">
        <v>3235</v>
      </c>
      <c r="G377" s="1859" t="s">
        <v>22</v>
      </c>
      <c r="H377" s="1859" t="s">
        <v>22</v>
      </c>
      <c r="I377" s="1859" t="s">
        <v>956</v>
      </c>
    </row>
    <row customHeight="1" ht="11.25">
      <c r="A378" s="1859" t="s">
        <v>2335</v>
      </c>
      <c r="B378" s="1859" t="s">
        <v>16</v>
      </c>
      <c r="C378" s="1859" t="s">
        <v>2666</v>
      </c>
      <c r="D378" s="1859" t="s">
        <v>2667</v>
      </c>
      <c r="E378" s="1859" t="s">
        <v>2668</v>
      </c>
      <c r="F378" s="1859" t="s">
        <v>2339</v>
      </c>
      <c r="G378" s="1859" t="s">
        <v>22</v>
      </c>
      <c r="H378" s="1859" t="s">
        <v>22</v>
      </c>
      <c r="I378" s="1859" t="s">
        <v>956</v>
      </c>
    </row>
    <row customHeight="1" ht="11.25">
      <c r="A379" s="1859" t="s">
        <v>2335</v>
      </c>
      <c r="B379" s="1859" t="s">
        <v>16</v>
      </c>
      <c r="C379" s="1859" t="s">
        <v>3236</v>
      </c>
      <c r="D379" s="1859" t="s">
        <v>3237</v>
      </c>
      <c r="E379" s="1859" t="s">
        <v>3238</v>
      </c>
      <c r="F379" s="1859" t="s">
        <v>2560</v>
      </c>
      <c r="G379" s="1859" t="s">
        <v>22</v>
      </c>
      <c r="H379" s="1859" t="s">
        <v>22</v>
      </c>
      <c r="I379" s="1859" t="s">
        <v>956</v>
      </c>
    </row>
    <row customHeight="1" ht="11.25">
      <c r="A380" s="1859" t="s">
        <v>2335</v>
      </c>
      <c r="B380" s="1859" t="s">
        <v>16</v>
      </c>
      <c r="C380" s="1859" t="s">
        <v>3239</v>
      </c>
      <c r="D380" s="1859" t="s">
        <v>3240</v>
      </c>
      <c r="E380" s="1859" t="s">
        <v>3241</v>
      </c>
      <c r="F380" s="1859" t="s">
        <v>2455</v>
      </c>
      <c r="G380" s="1859" t="s">
        <v>22</v>
      </c>
      <c r="H380" s="1859" t="s">
        <v>22</v>
      </c>
      <c r="I380" s="1859" t="s">
        <v>956</v>
      </c>
    </row>
    <row customHeight="1" ht="11.25">
      <c r="A381" s="1859" t="s">
        <v>2335</v>
      </c>
      <c r="B381" s="1859" t="s">
        <v>16</v>
      </c>
      <c r="C381" s="1859" t="s">
        <v>3242</v>
      </c>
      <c r="D381" s="1859" t="s">
        <v>3243</v>
      </c>
      <c r="E381" s="1859" t="s">
        <v>3244</v>
      </c>
      <c r="F381" s="1859" t="s">
        <v>2395</v>
      </c>
      <c r="G381" s="1859" t="s">
        <v>22</v>
      </c>
      <c r="H381" s="1859" t="s">
        <v>22</v>
      </c>
      <c r="I381" s="1859" t="s">
        <v>956</v>
      </c>
    </row>
    <row customHeight="1" ht="11.25">
      <c r="A382" s="1859" t="s">
        <v>2335</v>
      </c>
      <c r="B382" s="1859" t="s">
        <v>16</v>
      </c>
      <c r="C382" s="1859" t="s">
        <v>3245</v>
      </c>
      <c r="D382" s="1859" t="s">
        <v>3246</v>
      </c>
      <c r="E382" s="1859" t="s">
        <v>3247</v>
      </c>
      <c r="F382" s="1859" t="s">
        <v>2364</v>
      </c>
      <c r="G382" s="1859" t="s">
        <v>22</v>
      </c>
      <c r="H382" s="1859" t="s">
        <v>22</v>
      </c>
      <c r="I382" s="1859" t="s">
        <v>956</v>
      </c>
    </row>
    <row customHeight="1" ht="11.25">
      <c r="A383" s="1859" t="s">
        <v>2335</v>
      </c>
      <c r="B383" s="1859" t="s">
        <v>16</v>
      </c>
      <c r="C383" s="1859" t="s">
        <v>3248</v>
      </c>
      <c r="D383" s="1859" t="s">
        <v>3249</v>
      </c>
      <c r="E383" s="1859" t="s">
        <v>3250</v>
      </c>
      <c r="F383" s="1859" t="s">
        <v>2429</v>
      </c>
      <c r="G383" s="1859" t="s">
        <v>3251</v>
      </c>
      <c r="H383" s="1859" t="s">
        <v>22</v>
      </c>
      <c r="I383" s="1859" t="s">
        <v>956</v>
      </c>
    </row>
    <row customHeight="1" ht="11.25">
      <c r="A384" s="1859" t="s">
        <v>2335</v>
      </c>
      <c r="B384" s="1859" t="s">
        <v>16</v>
      </c>
      <c r="C384" s="1859" t="s">
        <v>3252</v>
      </c>
      <c r="D384" s="1859" t="s">
        <v>3253</v>
      </c>
      <c r="E384" s="1859" t="s">
        <v>3254</v>
      </c>
      <c r="F384" s="1859" t="s">
        <v>2395</v>
      </c>
      <c r="G384" s="1859" t="s">
        <v>22</v>
      </c>
      <c r="H384" s="1859" t="s">
        <v>22</v>
      </c>
      <c r="I384" s="1859" t="s">
        <v>956</v>
      </c>
    </row>
    <row customHeight="1" ht="11.25">
      <c r="A385" s="1859" t="s">
        <v>2335</v>
      </c>
      <c r="B385" s="1859" t="s">
        <v>16</v>
      </c>
      <c r="C385" s="1859" t="s">
        <v>3255</v>
      </c>
      <c r="D385" s="1859" t="s">
        <v>3256</v>
      </c>
      <c r="E385" s="1859" t="s">
        <v>3257</v>
      </c>
      <c r="F385" s="1859" t="s">
        <v>2372</v>
      </c>
      <c r="G385" s="1859" t="s">
        <v>22</v>
      </c>
      <c r="H385" s="1859" t="s">
        <v>22</v>
      </c>
      <c r="I385" s="1859" t="s">
        <v>956</v>
      </c>
    </row>
    <row customHeight="1" ht="11.25">
      <c r="A386" s="1859" t="s">
        <v>2335</v>
      </c>
      <c r="B386" s="1859" t="s">
        <v>16</v>
      </c>
      <c r="C386" s="1859" t="s">
        <v>3258</v>
      </c>
      <c r="D386" s="1859" t="s">
        <v>3259</v>
      </c>
      <c r="E386" s="1859" t="s">
        <v>3260</v>
      </c>
      <c r="F386" s="1859" t="s">
        <v>3261</v>
      </c>
      <c r="G386" s="1859" t="s">
        <v>3262</v>
      </c>
      <c r="H386" s="1859" t="s">
        <v>22</v>
      </c>
      <c r="I386" s="1859" t="s">
        <v>956</v>
      </c>
    </row>
    <row customHeight="1" ht="11.25">
      <c r="A387" s="1859" t="s">
        <v>2335</v>
      </c>
      <c r="B387" s="1859" t="s">
        <v>16</v>
      </c>
      <c r="C387" s="1859" t="s">
        <v>3263</v>
      </c>
      <c r="D387" s="1859" t="s">
        <v>3264</v>
      </c>
      <c r="E387" s="1859" t="s">
        <v>3265</v>
      </c>
      <c r="F387" s="1859" t="s">
        <v>2410</v>
      </c>
      <c r="G387" s="1859" t="s">
        <v>3266</v>
      </c>
      <c r="H387" s="1859" t="s">
        <v>22</v>
      </c>
      <c r="I387" s="1859" t="s">
        <v>956</v>
      </c>
    </row>
    <row customHeight="1" ht="11.25">
      <c r="A388" s="1859" t="s">
        <v>2335</v>
      </c>
      <c r="B388" s="1859" t="s">
        <v>16</v>
      </c>
      <c r="C388" s="1859" t="s">
        <v>3267</v>
      </c>
      <c r="D388" s="1859" t="s">
        <v>3268</v>
      </c>
      <c r="E388" s="1859" t="s">
        <v>3269</v>
      </c>
      <c r="F388" s="1859" t="s">
        <v>2473</v>
      </c>
      <c r="G388" s="1859" t="s">
        <v>3270</v>
      </c>
      <c r="H388" s="1859" t="s">
        <v>22</v>
      </c>
      <c r="I388" s="1859" t="s">
        <v>956</v>
      </c>
    </row>
    <row customHeight="1" ht="11.25">
      <c r="A389" s="1859" t="s">
        <v>2335</v>
      </c>
      <c r="B389" s="1859" t="s">
        <v>16</v>
      </c>
      <c r="C389" s="1859" t="s">
        <v>3271</v>
      </c>
      <c r="D389" s="1859" t="s">
        <v>3272</v>
      </c>
      <c r="E389" s="1859" t="s">
        <v>3273</v>
      </c>
      <c r="F389" s="1859" t="s">
        <v>2414</v>
      </c>
      <c r="G389" s="1859" t="s">
        <v>3274</v>
      </c>
      <c r="H389" s="1859" t="s">
        <v>22</v>
      </c>
      <c r="I389" s="1859" t="s">
        <v>956</v>
      </c>
    </row>
    <row customHeight="1" ht="11.25">
      <c r="A390" s="1859" t="s">
        <v>2335</v>
      </c>
      <c r="B390" s="1859" t="s">
        <v>16</v>
      </c>
      <c r="C390" s="1859" t="s">
        <v>2702</v>
      </c>
      <c r="D390" s="1859" t="s">
        <v>2703</v>
      </c>
      <c r="E390" s="1859" t="s">
        <v>2704</v>
      </c>
      <c r="F390" s="1859" t="s">
        <v>2473</v>
      </c>
      <c r="G390" s="1859" t="s">
        <v>22</v>
      </c>
      <c r="H390" s="1859" t="s">
        <v>22</v>
      </c>
      <c r="I390" s="1859" t="s">
        <v>956</v>
      </c>
    </row>
    <row customHeight="1" ht="11.25">
      <c r="A391" s="1859" t="s">
        <v>2335</v>
      </c>
      <c r="B391" s="1859" t="s">
        <v>16</v>
      </c>
      <c r="C391" s="1859" t="s">
        <v>3275</v>
      </c>
      <c r="D391" s="1859" t="s">
        <v>3276</v>
      </c>
      <c r="E391" s="1859" t="s">
        <v>3277</v>
      </c>
      <c r="F391" s="1859" t="s">
        <v>2665</v>
      </c>
      <c r="G391" s="1859" t="s">
        <v>22</v>
      </c>
      <c r="H391" s="1859" t="s">
        <v>22</v>
      </c>
      <c r="I391" s="1859" t="s">
        <v>956</v>
      </c>
    </row>
    <row customHeight="1" ht="11.25">
      <c r="A392" s="1859" t="s">
        <v>2335</v>
      </c>
      <c r="B392" s="1859" t="s">
        <v>16</v>
      </c>
      <c r="C392" s="1859" t="s">
        <v>3278</v>
      </c>
      <c r="D392" s="1859" t="s">
        <v>3279</v>
      </c>
      <c r="E392" s="1859" t="s">
        <v>3280</v>
      </c>
      <c r="F392" s="1859" t="s">
        <v>2395</v>
      </c>
      <c r="G392" s="1859" t="s">
        <v>22</v>
      </c>
      <c r="H392" s="1859" t="s">
        <v>22</v>
      </c>
      <c r="I392" s="1859" t="s">
        <v>956</v>
      </c>
    </row>
    <row customHeight="1" ht="11.25">
      <c r="A393" s="1859" t="s">
        <v>2335</v>
      </c>
      <c r="B393" s="1859" t="s">
        <v>16</v>
      </c>
      <c r="C393" s="1859" t="s">
        <v>3281</v>
      </c>
      <c r="D393" s="1859" t="s">
        <v>3282</v>
      </c>
      <c r="E393" s="1859" t="s">
        <v>3283</v>
      </c>
      <c r="F393" s="1859" t="s">
        <v>2605</v>
      </c>
      <c r="G393" s="1859" t="s">
        <v>3284</v>
      </c>
      <c r="H393" s="1859" t="s">
        <v>22</v>
      </c>
      <c r="I393" s="1859" t="s">
        <v>956</v>
      </c>
    </row>
    <row customHeight="1" ht="11.25">
      <c r="A394" s="1859" t="s">
        <v>2335</v>
      </c>
      <c r="B394" s="1859" t="s">
        <v>16</v>
      </c>
      <c r="C394" s="1859" t="s">
        <v>3285</v>
      </c>
      <c r="D394" s="1859" t="s">
        <v>3286</v>
      </c>
      <c r="E394" s="1859" t="s">
        <v>3287</v>
      </c>
      <c r="F394" s="1859" t="s">
        <v>2620</v>
      </c>
      <c r="G394" s="1859" t="s">
        <v>3288</v>
      </c>
      <c r="H394" s="1859" t="s">
        <v>22</v>
      </c>
      <c r="I394" s="1859" t="s">
        <v>956</v>
      </c>
    </row>
    <row customHeight="1" ht="11.25">
      <c r="A395" s="1859" t="s">
        <v>2335</v>
      </c>
      <c r="B395" s="1859" t="s">
        <v>16</v>
      </c>
      <c r="C395" s="1859" t="s">
        <v>3289</v>
      </c>
      <c r="D395" s="1859" t="s">
        <v>3290</v>
      </c>
      <c r="E395" s="1859" t="s">
        <v>3291</v>
      </c>
      <c r="F395" s="1859" t="s">
        <v>3292</v>
      </c>
      <c r="G395" s="1859" t="s">
        <v>3293</v>
      </c>
      <c r="H395" s="1859" t="s">
        <v>22</v>
      </c>
      <c r="I395" s="1859" t="s">
        <v>956</v>
      </c>
    </row>
    <row customHeight="1" ht="11.25">
      <c r="A396" s="1859" t="s">
        <v>2335</v>
      </c>
      <c r="B396" s="1859" t="s">
        <v>16</v>
      </c>
      <c r="C396" s="1859" t="s">
        <v>3294</v>
      </c>
      <c r="D396" s="1859" t="s">
        <v>3290</v>
      </c>
      <c r="E396" s="1859" t="s">
        <v>3291</v>
      </c>
      <c r="F396" s="1859" t="s">
        <v>2395</v>
      </c>
      <c r="G396" s="1859" t="s">
        <v>3212</v>
      </c>
      <c r="H396" s="1859" t="s">
        <v>22</v>
      </c>
      <c r="I396" s="1859" t="s">
        <v>956</v>
      </c>
    </row>
    <row customHeight="1" ht="11.25">
      <c r="A397" s="1859" t="s">
        <v>2335</v>
      </c>
      <c r="B397" s="1859" t="s">
        <v>16</v>
      </c>
      <c r="C397" s="1859" t="s">
        <v>2734</v>
      </c>
      <c r="D397" s="1859" t="s">
        <v>2735</v>
      </c>
      <c r="E397" s="1859" t="s">
        <v>2736</v>
      </c>
      <c r="F397" s="1859" t="s">
        <v>2473</v>
      </c>
      <c r="G397" s="1859" t="s">
        <v>22</v>
      </c>
      <c r="H397" s="1859" t="s">
        <v>22</v>
      </c>
      <c r="I397" s="1859" t="s">
        <v>956</v>
      </c>
    </row>
    <row customHeight="1" ht="11.25">
      <c r="A398" s="1859" t="s">
        <v>2335</v>
      </c>
      <c r="B398" s="1859" t="s">
        <v>16</v>
      </c>
      <c r="C398" s="1859" t="s">
        <v>3295</v>
      </c>
      <c r="D398" s="1859" t="s">
        <v>3296</v>
      </c>
      <c r="E398" s="1859" t="s">
        <v>3297</v>
      </c>
      <c r="F398" s="1859" t="s">
        <v>2402</v>
      </c>
      <c r="G398" s="1859" t="s">
        <v>2751</v>
      </c>
      <c r="H398" s="1859" t="s">
        <v>22</v>
      </c>
      <c r="I398" s="1859" t="s">
        <v>956</v>
      </c>
    </row>
    <row customHeight="1" ht="11.25">
      <c r="A399" s="1859" t="s">
        <v>2335</v>
      </c>
      <c r="B399" s="1859" t="s">
        <v>16</v>
      </c>
      <c r="C399" s="1859" t="s">
        <v>2752</v>
      </c>
      <c r="D399" s="1859" t="s">
        <v>2753</v>
      </c>
      <c r="E399" s="1859" t="s">
        <v>2754</v>
      </c>
      <c r="F399" s="1859" t="s">
        <v>2402</v>
      </c>
      <c r="G399" s="1859" t="s">
        <v>22</v>
      </c>
      <c r="H399" s="1859" t="s">
        <v>22</v>
      </c>
      <c r="I399" s="1859" t="s">
        <v>956</v>
      </c>
    </row>
    <row customHeight="1" ht="11.25">
      <c r="A400" s="1859" t="s">
        <v>2335</v>
      </c>
      <c r="B400" s="1859" t="s">
        <v>16</v>
      </c>
      <c r="C400" s="1859" t="s">
        <v>2755</v>
      </c>
      <c r="D400" s="1859" t="s">
        <v>2756</v>
      </c>
      <c r="E400" s="1859" t="s">
        <v>2757</v>
      </c>
      <c r="F400" s="1859" t="s">
        <v>2402</v>
      </c>
      <c r="G400" s="1859" t="s">
        <v>2758</v>
      </c>
      <c r="H400" s="1859" t="s">
        <v>22</v>
      </c>
      <c r="I400" s="1859" t="s">
        <v>956</v>
      </c>
    </row>
    <row customHeight="1" ht="11.25">
      <c r="A401" s="1859" t="s">
        <v>2335</v>
      </c>
      <c r="B401" s="1859" t="s">
        <v>16</v>
      </c>
      <c r="C401" s="1859" t="s">
        <v>3298</v>
      </c>
      <c r="D401" s="1859" t="s">
        <v>3299</v>
      </c>
      <c r="E401" s="1859" t="s">
        <v>3300</v>
      </c>
      <c r="F401" s="1859" t="s">
        <v>2455</v>
      </c>
      <c r="G401" s="1859" t="s">
        <v>22</v>
      </c>
      <c r="H401" s="1859" t="s">
        <v>22</v>
      </c>
      <c r="I401" s="1859" t="s">
        <v>956</v>
      </c>
    </row>
    <row customHeight="1" ht="11.25">
      <c r="A402" s="1859" t="s">
        <v>2335</v>
      </c>
      <c r="B402" s="1859" t="s">
        <v>16</v>
      </c>
      <c r="C402" s="1859" t="s">
        <v>3301</v>
      </c>
      <c r="D402" s="1859" t="s">
        <v>3302</v>
      </c>
      <c r="E402" s="1859" t="s">
        <v>3303</v>
      </c>
      <c r="F402" s="1859" t="s">
        <v>2658</v>
      </c>
      <c r="G402" s="1859" t="s">
        <v>22</v>
      </c>
      <c r="H402" s="1859" t="s">
        <v>22</v>
      </c>
      <c r="I402" s="1859" t="s">
        <v>956</v>
      </c>
    </row>
    <row customHeight="1" ht="11.25">
      <c r="A403" s="1859" t="s">
        <v>2335</v>
      </c>
      <c r="B403" s="1859" t="s">
        <v>16</v>
      </c>
      <c r="C403" s="1859" t="s">
        <v>2762</v>
      </c>
      <c r="D403" s="1859" t="s">
        <v>2763</v>
      </c>
      <c r="E403" s="1859" t="s">
        <v>2764</v>
      </c>
      <c r="F403" s="1859" t="s">
        <v>2513</v>
      </c>
      <c r="G403" s="1859" t="s">
        <v>2765</v>
      </c>
      <c r="H403" s="1859" t="s">
        <v>22</v>
      </c>
      <c r="I403" s="1859" t="s">
        <v>956</v>
      </c>
    </row>
    <row customHeight="1" ht="11.25">
      <c r="A404" s="1859" t="s">
        <v>2335</v>
      </c>
      <c r="B404" s="1859" t="s">
        <v>16</v>
      </c>
      <c r="C404" s="1859" t="s">
        <v>2766</v>
      </c>
      <c r="D404" s="1859" t="s">
        <v>2767</v>
      </c>
      <c r="E404" s="1859" t="s">
        <v>2768</v>
      </c>
      <c r="F404" s="1859" t="s">
        <v>2576</v>
      </c>
      <c r="G404" s="1859" t="s">
        <v>22</v>
      </c>
      <c r="H404" s="1859" t="s">
        <v>22</v>
      </c>
      <c r="I404" s="1859" t="s">
        <v>956</v>
      </c>
    </row>
    <row customHeight="1" ht="11.25">
      <c r="A405" s="1859" t="s">
        <v>2335</v>
      </c>
      <c r="B405" s="1859" t="s">
        <v>16</v>
      </c>
      <c r="C405" s="1859" t="s">
        <v>3304</v>
      </c>
      <c r="D405" s="1859" t="s">
        <v>3305</v>
      </c>
      <c r="E405" s="1859" t="s">
        <v>3306</v>
      </c>
      <c r="F405" s="1859" t="s">
        <v>2518</v>
      </c>
      <c r="G405" s="1859" t="s">
        <v>22</v>
      </c>
      <c r="H405" s="1859" t="s">
        <v>22</v>
      </c>
      <c r="I405" s="1859" t="s">
        <v>956</v>
      </c>
    </row>
    <row customHeight="1" ht="11.25">
      <c r="A406" s="1859" t="s">
        <v>2335</v>
      </c>
      <c r="B406" s="1859" t="s">
        <v>16</v>
      </c>
      <c r="C406" s="1859" t="s">
        <v>2787</v>
      </c>
      <c r="D406" s="1859" t="s">
        <v>2788</v>
      </c>
      <c r="E406" s="1859" t="s">
        <v>2789</v>
      </c>
      <c r="F406" s="1859" t="s">
        <v>2473</v>
      </c>
      <c r="G406" s="1859" t="s">
        <v>2790</v>
      </c>
      <c r="H406" s="1859" t="s">
        <v>22</v>
      </c>
      <c r="I406" s="1859" t="s">
        <v>956</v>
      </c>
    </row>
    <row customHeight="1" ht="11.25">
      <c r="A407" s="1859" t="s">
        <v>2335</v>
      </c>
      <c r="B407" s="1859" t="s">
        <v>16</v>
      </c>
      <c r="C407" s="1859" t="s">
        <v>2791</v>
      </c>
      <c r="D407" s="1859" t="s">
        <v>2792</v>
      </c>
      <c r="E407" s="1859" t="s">
        <v>2793</v>
      </c>
      <c r="F407" s="1859" t="s">
        <v>2518</v>
      </c>
      <c r="G407" s="1859" t="s">
        <v>22</v>
      </c>
      <c r="H407" s="1859" t="s">
        <v>22</v>
      </c>
      <c r="I407" s="1859" t="s">
        <v>956</v>
      </c>
    </row>
    <row customHeight="1" ht="11.25">
      <c r="A408" s="1859" t="s">
        <v>2335</v>
      </c>
      <c r="B408" s="1859" t="s">
        <v>16</v>
      </c>
      <c r="C408" s="1859" t="s">
        <v>3307</v>
      </c>
      <c r="D408" s="1859" t="s">
        <v>3308</v>
      </c>
      <c r="E408" s="1859" t="s">
        <v>3309</v>
      </c>
      <c r="F408" s="1859" t="s">
        <v>2665</v>
      </c>
      <c r="G408" s="1859" t="s">
        <v>22</v>
      </c>
      <c r="H408" s="1859" t="s">
        <v>22</v>
      </c>
      <c r="I408" s="1859" t="s">
        <v>956</v>
      </c>
    </row>
    <row customHeight="1" ht="11.25">
      <c r="A409" s="1859" t="s">
        <v>2335</v>
      </c>
      <c r="B409" s="1859" t="s">
        <v>16</v>
      </c>
      <c r="C409" s="1859" t="s">
        <v>2794</v>
      </c>
      <c r="D409" s="1859" t="s">
        <v>2795</v>
      </c>
      <c r="E409" s="1859" t="s">
        <v>2796</v>
      </c>
      <c r="F409" s="1859" t="s">
        <v>2469</v>
      </c>
      <c r="G409" s="1859" t="s">
        <v>2797</v>
      </c>
      <c r="H409" s="1859" t="s">
        <v>22</v>
      </c>
      <c r="I409" s="1859" t="s">
        <v>956</v>
      </c>
    </row>
    <row customHeight="1" ht="11.25">
      <c r="A410" s="1859" t="s">
        <v>2335</v>
      </c>
      <c r="B410" s="1859" t="s">
        <v>16</v>
      </c>
      <c r="C410" s="1859" t="s">
        <v>3310</v>
      </c>
      <c r="D410" s="1859" t="s">
        <v>3311</v>
      </c>
      <c r="E410" s="1859" t="s">
        <v>3312</v>
      </c>
      <c r="F410" s="1859" t="s">
        <v>2465</v>
      </c>
      <c r="G410" s="1859" t="s">
        <v>22</v>
      </c>
      <c r="H410" s="1859" t="s">
        <v>22</v>
      </c>
      <c r="I410" s="1859" t="s">
        <v>956</v>
      </c>
    </row>
    <row customHeight="1" ht="11.25">
      <c r="A411" s="1859" t="s">
        <v>2335</v>
      </c>
      <c r="B411" s="1859" t="s">
        <v>16</v>
      </c>
      <c r="C411" s="1859" t="s">
        <v>2811</v>
      </c>
      <c r="D411" s="1859" t="s">
        <v>2812</v>
      </c>
      <c r="E411" s="1859" t="s">
        <v>2813</v>
      </c>
      <c r="F411" s="1859" t="s">
        <v>2349</v>
      </c>
      <c r="G411" s="1859" t="s">
        <v>22</v>
      </c>
      <c r="H411" s="1859" t="s">
        <v>22</v>
      </c>
      <c r="I411" s="1859" t="s">
        <v>956</v>
      </c>
    </row>
    <row customHeight="1" ht="11.25">
      <c r="A412" s="1859" t="s">
        <v>2335</v>
      </c>
      <c r="B412" s="1859" t="s">
        <v>16</v>
      </c>
      <c r="C412" s="1859" t="s">
        <v>3313</v>
      </c>
      <c r="D412" s="1859" t="s">
        <v>3314</v>
      </c>
      <c r="E412" s="1859" t="s">
        <v>3315</v>
      </c>
      <c r="F412" s="1859" t="s">
        <v>2455</v>
      </c>
      <c r="G412" s="1859" t="s">
        <v>22</v>
      </c>
      <c r="H412" s="1859" t="s">
        <v>22</v>
      </c>
      <c r="I412" s="1859" t="s">
        <v>956</v>
      </c>
    </row>
    <row customHeight="1" ht="11.25">
      <c r="A413" s="1859" t="s">
        <v>2335</v>
      </c>
      <c r="B413" s="1859" t="s">
        <v>16</v>
      </c>
      <c r="C413" s="1859" t="s">
        <v>2814</v>
      </c>
      <c r="D413" s="1859" t="s">
        <v>2815</v>
      </c>
      <c r="E413" s="1859" t="s">
        <v>2816</v>
      </c>
      <c r="F413" s="1859" t="s">
        <v>2658</v>
      </c>
      <c r="G413" s="1859" t="s">
        <v>22</v>
      </c>
      <c r="H413" s="1859" t="s">
        <v>22</v>
      </c>
      <c r="I413" s="1859" t="s">
        <v>956</v>
      </c>
    </row>
    <row customHeight="1" ht="11.25">
      <c r="A414" s="1859" t="s">
        <v>2335</v>
      </c>
      <c r="B414" s="1859" t="s">
        <v>16</v>
      </c>
      <c r="C414" s="1859" t="s">
        <v>3316</v>
      </c>
      <c r="D414" s="1859" t="s">
        <v>3317</v>
      </c>
      <c r="E414" s="1859" t="s">
        <v>3318</v>
      </c>
      <c r="F414" s="1859" t="s">
        <v>2469</v>
      </c>
      <c r="G414" s="1859" t="s">
        <v>22</v>
      </c>
      <c r="H414" s="1859" t="s">
        <v>22</v>
      </c>
      <c r="I414" s="1859" t="s">
        <v>956</v>
      </c>
    </row>
    <row customHeight="1" ht="11.25">
      <c r="A415" s="1859" t="s">
        <v>2335</v>
      </c>
      <c r="B415" s="1859" t="s">
        <v>16</v>
      </c>
      <c r="C415" s="1859" t="s">
        <v>3319</v>
      </c>
      <c r="D415" s="1859" t="s">
        <v>3320</v>
      </c>
      <c r="E415" s="1859" t="s">
        <v>3321</v>
      </c>
      <c r="F415" s="1859" t="s">
        <v>2473</v>
      </c>
      <c r="G415" s="1859" t="s">
        <v>2529</v>
      </c>
      <c r="H415" s="1859" t="s">
        <v>22</v>
      </c>
      <c r="I415" s="1859" t="s">
        <v>956</v>
      </c>
    </row>
    <row customHeight="1" ht="11.25">
      <c r="A416" s="1859" t="s">
        <v>2335</v>
      </c>
      <c r="B416" s="1859" t="s">
        <v>16</v>
      </c>
      <c r="C416" s="1859" t="s">
        <v>2829</v>
      </c>
      <c r="D416" s="1859" t="s">
        <v>2830</v>
      </c>
      <c r="E416" s="1859" t="s">
        <v>2831</v>
      </c>
      <c r="F416" s="1859" t="s">
        <v>2832</v>
      </c>
      <c r="G416" s="1859" t="s">
        <v>22</v>
      </c>
      <c r="H416" s="1859" t="s">
        <v>22</v>
      </c>
      <c r="I416" s="1859" t="s">
        <v>956</v>
      </c>
    </row>
    <row customHeight="1" ht="11.25">
      <c r="A417" s="1859" t="s">
        <v>2335</v>
      </c>
      <c r="B417" s="1859" t="s">
        <v>16</v>
      </c>
      <c r="C417" s="1859" t="s">
        <v>2842</v>
      </c>
      <c r="D417" s="1859" t="s">
        <v>2843</v>
      </c>
      <c r="E417" s="1859" t="s">
        <v>2844</v>
      </c>
      <c r="F417" s="1859" t="s">
        <v>2455</v>
      </c>
      <c r="G417" s="1859" t="s">
        <v>22</v>
      </c>
      <c r="H417" s="1859" t="s">
        <v>22</v>
      </c>
      <c r="I417" s="1859" t="s">
        <v>956</v>
      </c>
    </row>
    <row customHeight="1" ht="11.25">
      <c r="A418" s="1859" t="s">
        <v>2335</v>
      </c>
      <c r="B418" s="1859" t="s">
        <v>16</v>
      </c>
      <c r="C418" s="1859" t="s">
        <v>2848</v>
      </c>
      <c r="D418" s="1859" t="s">
        <v>2849</v>
      </c>
      <c r="E418" s="1859" t="s">
        <v>2850</v>
      </c>
      <c r="F418" s="1859" t="s">
        <v>2372</v>
      </c>
      <c r="G418" s="1859" t="s">
        <v>22</v>
      </c>
      <c r="H418" s="1859" t="s">
        <v>22</v>
      </c>
      <c r="I418" s="1859" t="s">
        <v>956</v>
      </c>
    </row>
    <row customHeight="1" ht="11.25">
      <c r="A419" s="1859" t="s">
        <v>2335</v>
      </c>
      <c r="B419" s="1859" t="s">
        <v>16</v>
      </c>
      <c r="C419" s="1859" t="s">
        <v>2851</v>
      </c>
      <c r="D419" s="1859" t="s">
        <v>2852</v>
      </c>
      <c r="E419" s="1859" t="s">
        <v>2853</v>
      </c>
      <c r="F419" s="1859" t="s">
        <v>2586</v>
      </c>
      <c r="G419" s="1859" t="s">
        <v>22</v>
      </c>
      <c r="H419" s="1859" t="s">
        <v>22</v>
      </c>
      <c r="I419" s="1859" t="s">
        <v>956</v>
      </c>
    </row>
    <row customHeight="1" ht="11.25">
      <c r="A420" s="1859" t="s">
        <v>2335</v>
      </c>
      <c r="B420" s="1859" t="s">
        <v>16</v>
      </c>
      <c r="C420" s="1859" t="s">
        <v>3322</v>
      </c>
      <c r="D420" s="1859" t="s">
        <v>3323</v>
      </c>
      <c r="E420" s="1859" t="s">
        <v>3324</v>
      </c>
      <c r="F420" s="1859" t="s">
        <v>2605</v>
      </c>
      <c r="G420" s="1859" t="s">
        <v>2529</v>
      </c>
      <c r="H420" s="1859" t="s">
        <v>22</v>
      </c>
      <c r="I420" s="1859" t="s">
        <v>956</v>
      </c>
    </row>
    <row customHeight="1" ht="11.25">
      <c r="A421" s="1859" t="s">
        <v>2335</v>
      </c>
      <c r="B421" s="1859" t="s">
        <v>16</v>
      </c>
      <c r="C421" s="1859" t="s">
        <v>2866</v>
      </c>
      <c r="D421" s="1859" t="s">
        <v>2867</v>
      </c>
      <c r="E421" s="1859" t="s">
        <v>2868</v>
      </c>
      <c r="F421" s="1859" t="s">
        <v>2469</v>
      </c>
      <c r="G421" s="1859" t="s">
        <v>22</v>
      </c>
      <c r="H421" s="1859" t="s">
        <v>22</v>
      </c>
      <c r="I421" s="1859" t="s">
        <v>956</v>
      </c>
    </row>
    <row customHeight="1" ht="11.25">
      <c r="A422" s="1859" t="s">
        <v>2335</v>
      </c>
      <c r="B422" s="1859" t="s">
        <v>16</v>
      </c>
      <c r="C422" s="1859" t="s">
        <v>2869</v>
      </c>
      <c r="D422" s="1859" t="s">
        <v>2870</v>
      </c>
      <c r="E422" s="1859" t="s">
        <v>2871</v>
      </c>
      <c r="F422" s="1859" t="s">
        <v>2576</v>
      </c>
      <c r="G422" s="1859" t="s">
        <v>22</v>
      </c>
      <c r="H422" s="1859" t="s">
        <v>22</v>
      </c>
      <c r="I422" s="1859" t="s">
        <v>956</v>
      </c>
    </row>
    <row customHeight="1" ht="11.25">
      <c r="A423" s="1859" t="s">
        <v>2335</v>
      </c>
      <c r="B423" s="1859" t="s">
        <v>16</v>
      </c>
      <c r="C423" s="1859" t="s">
        <v>2872</v>
      </c>
      <c r="D423" s="1859" t="s">
        <v>2873</v>
      </c>
      <c r="E423" s="1859" t="s">
        <v>2874</v>
      </c>
      <c r="F423" s="1859" t="s">
        <v>2586</v>
      </c>
      <c r="G423" s="1859" t="s">
        <v>22</v>
      </c>
      <c r="H423" s="1859" t="s">
        <v>22</v>
      </c>
      <c r="I423" s="1859" t="s">
        <v>956</v>
      </c>
    </row>
    <row customHeight="1" ht="11.25">
      <c r="A424" s="1859" t="s">
        <v>2335</v>
      </c>
      <c r="B424" s="1859" t="s">
        <v>16</v>
      </c>
      <c r="C424" s="1859" t="s">
        <v>3325</v>
      </c>
      <c r="D424" s="1859" t="s">
        <v>3326</v>
      </c>
      <c r="E424" s="1859" t="s">
        <v>3327</v>
      </c>
      <c r="F424" s="1859" t="s">
        <v>2658</v>
      </c>
      <c r="G424" s="1859" t="s">
        <v>22</v>
      </c>
      <c r="H424" s="1859" t="s">
        <v>22</v>
      </c>
      <c r="I424" s="1859" t="s">
        <v>956</v>
      </c>
    </row>
    <row customHeight="1" ht="11.25">
      <c r="A425" s="1859" t="s">
        <v>2335</v>
      </c>
      <c r="B425" s="1859" t="s">
        <v>16</v>
      </c>
      <c r="C425" s="1859" t="s">
        <v>3328</v>
      </c>
      <c r="D425" s="1859" t="s">
        <v>3329</v>
      </c>
      <c r="E425" s="1859" t="s">
        <v>3330</v>
      </c>
      <c r="F425" s="1859" t="s">
        <v>2402</v>
      </c>
      <c r="G425" s="1859" t="s">
        <v>22</v>
      </c>
      <c r="H425" s="1859" t="s">
        <v>22</v>
      </c>
      <c r="I425" s="1859" t="s">
        <v>956</v>
      </c>
    </row>
    <row customHeight="1" ht="11.25">
      <c r="A426" s="1859" t="s">
        <v>2335</v>
      </c>
      <c r="B426" s="1859" t="s">
        <v>16</v>
      </c>
      <c r="C426" s="1859" t="s">
        <v>3331</v>
      </c>
      <c r="D426" s="1859" t="s">
        <v>3329</v>
      </c>
      <c r="E426" s="1859" t="s">
        <v>3332</v>
      </c>
      <c r="F426" s="1859" t="s">
        <v>51</v>
      </c>
      <c r="G426" s="1859" t="s">
        <v>22</v>
      </c>
      <c r="H426" s="1859" t="s">
        <v>22</v>
      </c>
      <c r="I426" s="1859" t="s">
        <v>956</v>
      </c>
    </row>
    <row customHeight="1" ht="11.25">
      <c r="A427" s="1859" t="s">
        <v>2335</v>
      </c>
      <c r="B427" s="1859" t="s">
        <v>16</v>
      </c>
      <c r="C427" s="1859" t="s">
        <v>2887</v>
      </c>
      <c r="D427" s="1859" t="s">
        <v>2888</v>
      </c>
      <c r="E427" s="1859" t="s">
        <v>2889</v>
      </c>
      <c r="F427" s="1859" t="s">
        <v>2372</v>
      </c>
      <c r="G427" s="1859" t="s">
        <v>22</v>
      </c>
      <c r="H427" s="1859" t="s">
        <v>22</v>
      </c>
      <c r="I427" s="1859" t="s">
        <v>956</v>
      </c>
    </row>
    <row customHeight="1" ht="11.25">
      <c r="A428" s="1859" t="s">
        <v>2335</v>
      </c>
      <c r="B428" s="1859" t="s">
        <v>16</v>
      </c>
      <c r="C428" s="1859" t="s">
        <v>2890</v>
      </c>
      <c r="D428" s="1859" t="s">
        <v>2891</v>
      </c>
      <c r="E428" s="1859" t="s">
        <v>2892</v>
      </c>
      <c r="F428" s="1859" t="s">
        <v>2576</v>
      </c>
      <c r="G428" s="1859" t="s">
        <v>22</v>
      </c>
      <c r="H428" s="1859" t="s">
        <v>22</v>
      </c>
      <c r="I428" s="1859" t="s">
        <v>956</v>
      </c>
    </row>
    <row customHeight="1" ht="11.25">
      <c r="A429" s="1859" t="s">
        <v>2335</v>
      </c>
      <c r="B429" s="1859" t="s">
        <v>16</v>
      </c>
      <c r="C429" s="1859" t="s">
        <v>2896</v>
      </c>
      <c r="D429" s="1859" t="s">
        <v>2897</v>
      </c>
      <c r="E429" s="1859" t="s">
        <v>2898</v>
      </c>
      <c r="F429" s="1859" t="s">
        <v>2518</v>
      </c>
      <c r="G429" s="1859" t="s">
        <v>22</v>
      </c>
      <c r="H429" s="1859" t="s">
        <v>22</v>
      </c>
      <c r="I429" s="1859" t="s">
        <v>956</v>
      </c>
    </row>
    <row customHeight="1" ht="11.25">
      <c r="A430" s="1859" t="s">
        <v>2335</v>
      </c>
      <c r="B430" s="1859" t="s">
        <v>16</v>
      </c>
      <c r="C430" s="1859" t="s">
        <v>2902</v>
      </c>
      <c r="D430" s="1859" t="s">
        <v>2903</v>
      </c>
      <c r="E430" s="1859" t="s">
        <v>2904</v>
      </c>
      <c r="F430" s="1859" t="s">
        <v>2473</v>
      </c>
      <c r="G430" s="1859" t="s">
        <v>22</v>
      </c>
      <c r="H430" s="1859" t="s">
        <v>22</v>
      </c>
      <c r="I430" s="1859" t="s">
        <v>956</v>
      </c>
    </row>
    <row customHeight="1" ht="11.25">
      <c r="A431" s="1859" t="s">
        <v>2335</v>
      </c>
      <c r="B431" s="1859" t="s">
        <v>16</v>
      </c>
      <c r="C431" s="1859" t="s">
        <v>2912</v>
      </c>
      <c r="D431" s="1859" t="s">
        <v>2913</v>
      </c>
      <c r="E431" s="1859" t="s">
        <v>2914</v>
      </c>
      <c r="F431" s="1859" t="s">
        <v>2469</v>
      </c>
      <c r="G431" s="1859" t="s">
        <v>2915</v>
      </c>
      <c r="H431" s="1859" t="s">
        <v>22</v>
      </c>
      <c r="I431" s="1859" t="s">
        <v>956</v>
      </c>
    </row>
    <row customHeight="1" ht="11.25">
      <c r="A432" s="1859" t="s">
        <v>2335</v>
      </c>
      <c r="B432" s="1859" t="s">
        <v>16</v>
      </c>
      <c r="C432" s="1859" t="s">
        <v>3333</v>
      </c>
      <c r="D432" s="1859" t="s">
        <v>3334</v>
      </c>
      <c r="E432" s="1859" t="s">
        <v>3335</v>
      </c>
      <c r="F432" s="1859" t="s">
        <v>2473</v>
      </c>
      <c r="G432" s="1859" t="s">
        <v>3336</v>
      </c>
      <c r="H432" s="1859" t="s">
        <v>22</v>
      </c>
      <c r="I432" s="1859" t="s">
        <v>956</v>
      </c>
    </row>
    <row customHeight="1" ht="11.25">
      <c r="A433" s="1859" t="s">
        <v>2335</v>
      </c>
      <c r="B433" s="1859" t="s">
        <v>16</v>
      </c>
      <c r="C433" s="1859" t="s">
        <v>2924</v>
      </c>
      <c r="D433" s="1859" t="s">
        <v>2925</v>
      </c>
      <c r="E433" s="1859" t="s">
        <v>2926</v>
      </c>
      <c r="F433" s="1859" t="s">
        <v>2658</v>
      </c>
      <c r="G433" s="1859" t="s">
        <v>22</v>
      </c>
      <c r="H433" s="1859" t="s">
        <v>22</v>
      </c>
      <c r="I433" s="1859" t="s">
        <v>956</v>
      </c>
    </row>
    <row customHeight="1" ht="11.25">
      <c r="A434" s="1859" t="s">
        <v>2335</v>
      </c>
      <c r="B434" s="1859" t="s">
        <v>16</v>
      </c>
      <c r="C434" s="1859" t="s">
        <v>2927</v>
      </c>
      <c r="D434" s="1859" t="s">
        <v>2928</v>
      </c>
      <c r="E434" s="1859" t="s">
        <v>2929</v>
      </c>
      <c r="F434" s="1859" t="s">
        <v>2658</v>
      </c>
      <c r="G434" s="1859" t="s">
        <v>22</v>
      </c>
      <c r="H434" s="1859" t="s">
        <v>22</v>
      </c>
      <c r="I434" s="1859" t="s">
        <v>956</v>
      </c>
    </row>
    <row customHeight="1" ht="11.25">
      <c r="A435" s="1859" t="s">
        <v>2335</v>
      </c>
      <c r="B435" s="1859" t="s">
        <v>16</v>
      </c>
      <c r="C435" s="1859" t="s">
        <v>3337</v>
      </c>
      <c r="D435" s="1859" t="s">
        <v>3338</v>
      </c>
      <c r="E435" s="1859" t="s">
        <v>3339</v>
      </c>
      <c r="F435" s="1859" t="s">
        <v>2560</v>
      </c>
      <c r="G435" s="1859" t="s">
        <v>22</v>
      </c>
      <c r="H435" s="1859" t="s">
        <v>22</v>
      </c>
      <c r="I435" s="1859" t="s">
        <v>956</v>
      </c>
    </row>
    <row customHeight="1" ht="11.25">
      <c r="A436" s="1859" t="s">
        <v>2335</v>
      </c>
      <c r="B436" s="1859" t="s">
        <v>16</v>
      </c>
      <c r="C436" s="1859" t="s">
        <v>3340</v>
      </c>
      <c r="D436" s="1859" t="s">
        <v>3341</v>
      </c>
      <c r="E436" s="1859" t="s">
        <v>3342</v>
      </c>
      <c r="F436" s="1859" t="s">
        <v>2455</v>
      </c>
      <c r="G436" s="1859" t="s">
        <v>22</v>
      </c>
      <c r="H436" s="1859" t="s">
        <v>22</v>
      </c>
      <c r="I436" s="1859" t="s">
        <v>956</v>
      </c>
    </row>
    <row customHeight="1" ht="11.25">
      <c r="A437" s="1859" t="s">
        <v>2335</v>
      </c>
      <c r="B437" s="1859" t="s">
        <v>16</v>
      </c>
      <c r="C437" s="1859" t="s">
        <v>2933</v>
      </c>
      <c r="D437" s="1859" t="s">
        <v>2934</v>
      </c>
      <c r="E437" s="1859" t="s">
        <v>2935</v>
      </c>
      <c r="F437" s="1859" t="s">
        <v>2641</v>
      </c>
      <c r="G437" s="1859" t="s">
        <v>22</v>
      </c>
      <c r="H437" s="1859" t="s">
        <v>22</v>
      </c>
      <c r="I437" s="1859" t="s">
        <v>956</v>
      </c>
    </row>
    <row customHeight="1" ht="11.25">
      <c r="A438" s="1859" t="s">
        <v>2335</v>
      </c>
      <c r="B438" s="1859" t="s">
        <v>16</v>
      </c>
      <c r="C438" s="1859" t="s">
        <v>2936</v>
      </c>
      <c r="D438" s="1859" t="s">
        <v>2937</v>
      </c>
      <c r="E438" s="1859" t="s">
        <v>2938</v>
      </c>
      <c r="F438" s="1859" t="s">
        <v>2513</v>
      </c>
      <c r="G438" s="1859" t="s">
        <v>22</v>
      </c>
      <c r="H438" s="1859" t="s">
        <v>22</v>
      </c>
      <c r="I438" s="1859" t="s">
        <v>956</v>
      </c>
    </row>
    <row customHeight="1" ht="11.25">
      <c r="A439" s="1859" t="s">
        <v>2335</v>
      </c>
      <c r="B439" s="1859" t="s">
        <v>16</v>
      </c>
      <c r="C439" s="1859" t="s">
        <v>3343</v>
      </c>
      <c r="D439" s="1859" t="s">
        <v>3344</v>
      </c>
      <c r="E439" s="1859" t="s">
        <v>3345</v>
      </c>
      <c r="F439" s="1859" t="s">
        <v>2620</v>
      </c>
      <c r="G439" s="1859" t="s">
        <v>22</v>
      </c>
      <c r="H439" s="1859" t="s">
        <v>22</v>
      </c>
      <c r="I439" s="1859" t="s">
        <v>956</v>
      </c>
    </row>
    <row customHeight="1" ht="11.25">
      <c r="A440" s="1859" t="s">
        <v>2335</v>
      </c>
      <c r="B440" s="1859" t="s">
        <v>16</v>
      </c>
      <c r="C440" s="1859" t="s">
        <v>2939</v>
      </c>
      <c r="D440" s="1859" t="s">
        <v>2940</v>
      </c>
      <c r="E440" s="1859" t="s">
        <v>2941</v>
      </c>
      <c r="F440" s="1859" t="s">
        <v>2942</v>
      </c>
      <c r="G440" s="1859" t="s">
        <v>2943</v>
      </c>
      <c r="H440" s="1859" t="s">
        <v>22</v>
      </c>
      <c r="I440" s="1859" t="s">
        <v>956</v>
      </c>
    </row>
    <row customHeight="1" ht="11.25">
      <c r="A441" s="1859" t="s">
        <v>2335</v>
      </c>
      <c r="B441" s="1859" t="s">
        <v>16</v>
      </c>
      <c r="C441" s="1859" t="s">
        <v>2948</v>
      </c>
      <c r="D441" s="1859" t="s">
        <v>2949</v>
      </c>
      <c r="E441" s="1859" t="s">
        <v>2950</v>
      </c>
      <c r="F441" s="1859" t="s">
        <v>2586</v>
      </c>
      <c r="G441" s="1859" t="s">
        <v>22</v>
      </c>
      <c r="H441" s="1859" t="s">
        <v>22</v>
      </c>
      <c r="I441" s="1859" t="s">
        <v>956</v>
      </c>
    </row>
    <row customHeight="1" ht="11.25">
      <c r="A442" s="1859" t="s">
        <v>2335</v>
      </c>
      <c r="B442" s="1859" t="s">
        <v>16</v>
      </c>
      <c r="C442" s="1859" t="s">
        <v>2951</v>
      </c>
      <c r="D442" s="1859" t="s">
        <v>2952</v>
      </c>
      <c r="E442" s="1859" t="s">
        <v>2953</v>
      </c>
      <c r="F442" s="1859" t="s">
        <v>2942</v>
      </c>
      <c r="G442" s="1859" t="s">
        <v>22</v>
      </c>
      <c r="H442" s="1859" t="s">
        <v>22</v>
      </c>
      <c r="I442" s="1859" t="s">
        <v>956</v>
      </c>
    </row>
    <row customHeight="1" ht="11.25">
      <c r="A443" s="1859" t="s">
        <v>2335</v>
      </c>
      <c r="B443" s="1859" t="s">
        <v>16</v>
      </c>
      <c r="C443" s="1859" t="s">
        <v>2960</v>
      </c>
      <c r="D443" s="1859" t="s">
        <v>2961</v>
      </c>
      <c r="E443" s="1859" t="s">
        <v>2962</v>
      </c>
      <c r="F443" s="1859" t="s">
        <v>2942</v>
      </c>
      <c r="G443" s="1859" t="s">
        <v>22</v>
      </c>
      <c r="H443" s="1859" t="s">
        <v>22</v>
      </c>
      <c r="I443" s="1859" t="s">
        <v>956</v>
      </c>
    </row>
    <row customHeight="1" ht="11.25">
      <c r="A444" s="1859" t="s">
        <v>2335</v>
      </c>
      <c r="B444" s="1859" t="s">
        <v>16</v>
      </c>
      <c r="C444" s="1859" t="s">
        <v>2963</v>
      </c>
      <c r="D444" s="1859" t="s">
        <v>2964</v>
      </c>
      <c r="E444" s="1859" t="s">
        <v>2965</v>
      </c>
      <c r="F444" s="1859" t="s">
        <v>2942</v>
      </c>
      <c r="G444" s="1859" t="s">
        <v>22</v>
      </c>
      <c r="H444" s="1859" t="s">
        <v>22</v>
      </c>
      <c r="I444" s="1859" t="s">
        <v>956</v>
      </c>
    </row>
    <row customHeight="1" ht="11.25">
      <c r="A445" s="1859" t="s">
        <v>2335</v>
      </c>
      <c r="B445" s="1859" t="s">
        <v>16</v>
      </c>
      <c r="C445" s="1859" t="s">
        <v>2974</v>
      </c>
      <c r="D445" s="1859" t="s">
        <v>2975</v>
      </c>
      <c r="E445" s="1859" t="s">
        <v>2976</v>
      </c>
      <c r="F445" s="1859" t="s">
        <v>2977</v>
      </c>
      <c r="G445" s="1859" t="s">
        <v>22</v>
      </c>
      <c r="H445" s="1859" t="s">
        <v>22</v>
      </c>
      <c r="I445" s="1859" t="s">
        <v>956</v>
      </c>
    </row>
    <row customHeight="1" ht="11.25">
      <c r="A446" s="1859" t="s">
        <v>2335</v>
      </c>
      <c r="B446" s="1859" t="s">
        <v>16</v>
      </c>
      <c r="C446" s="1859" t="s">
        <v>2985</v>
      </c>
      <c r="D446" s="1859" t="s">
        <v>2986</v>
      </c>
      <c r="E446" s="1859" t="s">
        <v>2987</v>
      </c>
      <c r="F446" s="1859" t="s">
        <v>2988</v>
      </c>
      <c r="G446" s="1859" t="s">
        <v>22</v>
      </c>
      <c r="H446" s="1859" t="s">
        <v>22</v>
      </c>
      <c r="I446" s="1859" t="s">
        <v>956</v>
      </c>
    </row>
    <row customHeight="1" ht="11.25">
      <c r="A447" s="1859" t="s">
        <v>2335</v>
      </c>
      <c r="B447" s="1859" t="s">
        <v>16</v>
      </c>
      <c r="C447" s="1859" t="s">
        <v>2989</v>
      </c>
      <c r="D447" s="1859" t="s">
        <v>2990</v>
      </c>
      <c r="E447" s="1859" t="s">
        <v>2991</v>
      </c>
      <c r="F447" s="1859" t="s">
        <v>2992</v>
      </c>
      <c r="G447" s="1859" t="s">
        <v>22</v>
      </c>
      <c r="H447" s="1859" t="s">
        <v>22</v>
      </c>
      <c r="I447" s="1859" t="s">
        <v>956</v>
      </c>
    </row>
    <row customHeight="1" ht="11.25">
      <c r="A448" s="1859" t="s">
        <v>2335</v>
      </c>
      <c r="B448" s="1859" t="s">
        <v>16</v>
      </c>
      <c r="C448" s="1859" t="s">
        <v>2996</v>
      </c>
      <c r="D448" s="1859" t="s">
        <v>2997</v>
      </c>
      <c r="E448" s="1859" t="s">
        <v>2998</v>
      </c>
      <c r="F448" s="1859" t="s">
        <v>2406</v>
      </c>
      <c r="G448" s="1859" t="s">
        <v>22</v>
      </c>
      <c r="H448" s="1859" t="s">
        <v>2999</v>
      </c>
      <c r="I448" s="1859" t="s">
        <v>1009</v>
      </c>
    </row>
    <row customHeight="1" ht="11.25">
      <c r="A449" s="1859" t="s">
        <v>2335</v>
      </c>
      <c r="B449" s="1859" t="s">
        <v>16</v>
      </c>
      <c r="C449" s="1859" t="s">
        <v>3000</v>
      </c>
      <c r="D449" s="1859" t="s">
        <v>3001</v>
      </c>
      <c r="E449" s="1859" t="s">
        <v>3002</v>
      </c>
      <c r="F449" s="1859" t="s">
        <v>2560</v>
      </c>
      <c r="G449" s="1859" t="s">
        <v>3003</v>
      </c>
      <c r="H449" s="1859" t="s">
        <v>22</v>
      </c>
      <c r="I449" s="1859" t="s">
        <v>1009</v>
      </c>
    </row>
    <row customHeight="1" ht="11.25">
      <c r="A450" s="1859" t="s">
        <v>2335</v>
      </c>
      <c r="B450" s="1859" t="s">
        <v>16</v>
      </c>
      <c r="C450" s="1859" t="s">
        <v>2353</v>
      </c>
      <c r="D450" s="1859" t="s">
        <v>2354</v>
      </c>
      <c r="E450" s="1859" t="s">
        <v>2355</v>
      </c>
      <c r="F450" s="1859" t="s">
        <v>2356</v>
      </c>
      <c r="G450" s="1859" t="s">
        <v>22</v>
      </c>
      <c r="H450" s="1859" t="s">
        <v>22</v>
      </c>
      <c r="I450" s="1859" t="s">
        <v>1009</v>
      </c>
    </row>
    <row customHeight="1" ht="11.25">
      <c r="A451" s="1859" t="s">
        <v>2335</v>
      </c>
      <c r="B451" s="1859" t="s">
        <v>16</v>
      </c>
      <c r="C451" s="1859" t="s">
        <v>2357</v>
      </c>
      <c r="D451" s="1859" t="s">
        <v>2358</v>
      </c>
      <c r="E451" s="1859" t="s">
        <v>2359</v>
      </c>
      <c r="F451" s="1859" t="s">
        <v>2344</v>
      </c>
      <c r="G451" s="1859" t="s">
        <v>2360</v>
      </c>
      <c r="H451" s="1859" t="s">
        <v>22</v>
      </c>
      <c r="I451" s="1859" t="s">
        <v>1009</v>
      </c>
    </row>
    <row customHeight="1" ht="11.25">
      <c r="A452" s="1859" t="s">
        <v>2335</v>
      </c>
      <c r="B452" s="1859" t="s">
        <v>16</v>
      </c>
      <c r="C452" s="1859" t="s">
        <v>2361</v>
      </c>
      <c r="D452" s="1859" t="s">
        <v>2362</v>
      </c>
      <c r="E452" s="1859" t="s">
        <v>2363</v>
      </c>
      <c r="F452" s="1859" t="s">
        <v>2364</v>
      </c>
      <c r="G452" s="1859" t="s">
        <v>22</v>
      </c>
      <c r="H452" s="1859" t="s">
        <v>22</v>
      </c>
      <c r="I452" s="1859" t="s">
        <v>1009</v>
      </c>
    </row>
    <row customHeight="1" ht="11.25">
      <c r="A453" s="1859" t="s">
        <v>2335</v>
      </c>
      <c r="B453" s="1859" t="s">
        <v>16</v>
      </c>
      <c r="C453" s="1859" t="s">
        <v>2365</v>
      </c>
      <c r="D453" s="1859" t="s">
        <v>2366</v>
      </c>
      <c r="E453" s="1859" t="s">
        <v>2367</v>
      </c>
      <c r="F453" s="1859" t="s">
        <v>2368</v>
      </c>
      <c r="G453" s="1859" t="s">
        <v>22</v>
      </c>
      <c r="H453" s="1859" t="s">
        <v>22</v>
      </c>
      <c r="I453" s="1859" t="s">
        <v>1009</v>
      </c>
    </row>
    <row customHeight="1" ht="11.25">
      <c r="A454" s="1859" t="s">
        <v>2335</v>
      </c>
      <c r="B454" s="1859" t="s">
        <v>16</v>
      </c>
      <c r="C454" s="1859" t="s">
        <v>3008</v>
      </c>
      <c r="D454" s="1859" t="s">
        <v>3009</v>
      </c>
      <c r="E454" s="1859" t="s">
        <v>3010</v>
      </c>
      <c r="F454" s="1859" t="s">
        <v>2429</v>
      </c>
      <c r="G454" s="1859" t="s">
        <v>22</v>
      </c>
      <c r="H454" s="1859" t="s">
        <v>22</v>
      </c>
      <c r="I454" s="1859" t="s">
        <v>1009</v>
      </c>
    </row>
    <row customHeight="1" ht="11.25">
      <c r="A455" s="1859" t="s">
        <v>2335</v>
      </c>
      <c r="B455" s="1859" t="s">
        <v>16</v>
      </c>
      <c r="C455" s="1859" t="s">
        <v>2377</v>
      </c>
      <c r="D455" s="1859" t="s">
        <v>2378</v>
      </c>
      <c r="E455" s="1859" t="s">
        <v>2379</v>
      </c>
      <c r="F455" s="1859" t="s">
        <v>2380</v>
      </c>
      <c r="G455" s="1859" t="s">
        <v>22</v>
      </c>
      <c r="H455" s="1859" t="s">
        <v>22</v>
      </c>
      <c r="I455" s="1859" t="s">
        <v>1009</v>
      </c>
    </row>
    <row customHeight="1" ht="11.25">
      <c r="A456" s="1859" t="s">
        <v>2335</v>
      </c>
      <c r="B456" s="1859" t="s">
        <v>16</v>
      </c>
      <c r="C456" s="1859" t="s">
        <v>2381</v>
      </c>
      <c r="D456" s="1859" t="s">
        <v>2382</v>
      </c>
      <c r="E456" s="1859" t="s">
        <v>2383</v>
      </c>
      <c r="F456" s="1859" t="s">
        <v>2364</v>
      </c>
      <c r="G456" s="1859" t="s">
        <v>22</v>
      </c>
      <c r="H456" s="1859" t="s">
        <v>22</v>
      </c>
      <c r="I456" s="1859" t="s">
        <v>1009</v>
      </c>
    </row>
    <row customHeight="1" ht="11.25">
      <c r="A457" s="1859" t="s">
        <v>2335</v>
      </c>
      <c r="B457" s="1859" t="s">
        <v>16</v>
      </c>
      <c r="C457" s="1859" t="s">
        <v>3346</v>
      </c>
      <c r="D457" s="1859" t="s">
        <v>3347</v>
      </c>
      <c r="E457" s="1859" t="s">
        <v>3348</v>
      </c>
      <c r="F457" s="1859" t="s">
        <v>2473</v>
      </c>
      <c r="G457" s="1859" t="s">
        <v>22</v>
      </c>
      <c r="H457" s="1859" t="s">
        <v>22</v>
      </c>
      <c r="I457" s="1859" t="s">
        <v>1009</v>
      </c>
    </row>
    <row customHeight="1" ht="11.25">
      <c r="A458" s="1859" t="s">
        <v>2335</v>
      </c>
      <c r="B458" s="1859" t="s">
        <v>16</v>
      </c>
      <c r="C458" s="1859" t="s">
        <v>2415</v>
      </c>
      <c r="D458" s="1859" t="s">
        <v>2416</v>
      </c>
      <c r="E458" s="1859" t="s">
        <v>2417</v>
      </c>
      <c r="F458" s="1859" t="s">
        <v>2418</v>
      </c>
      <c r="G458" s="1859" t="s">
        <v>2360</v>
      </c>
      <c r="H458" s="1859" t="s">
        <v>22</v>
      </c>
      <c r="I458" s="1859" t="s">
        <v>1009</v>
      </c>
    </row>
    <row customHeight="1" ht="11.25">
      <c r="A459" s="1859" t="s">
        <v>2335</v>
      </c>
      <c r="B459" s="1859" t="s">
        <v>16</v>
      </c>
      <c r="C459" s="1859" t="s">
        <v>2422</v>
      </c>
      <c r="D459" s="1859" t="s">
        <v>2423</v>
      </c>
      <c r="E459" s="1859" t="s">
        <v>2424</v>
      </c>
      <c r="F459" s="1859" t="s">
        <v>2425</v>
      </c>
      <c r="G459" s="1859" t="s">
        <v>22</v>
      </c>
      <c r="H459" s="1859" t="s">
        <v>22</v>
      </c>
      <c r="I459" s="1859" t="s">
        <v>1009</v>
      </c>
    </row>
    <row customHeight="1" ht="11.25">
      <c r="A460" s="1859" t="s">
        <v>2335</v>
      </c>
      <c r="B460" s="1859" t="s">
        <v>16</v>
      </c>
      <c r="C460" s="1859" t="s">
        <v>2426</v>
      </c>
      <c r="D460" s="1859" t="s">
        <v>2427</v>
      </c>
      <c r="E460" s="1859" t="s">
        <v>2428</v>
      </c>
      <c r="F460" s="1859" t="s">
        <v>2429</v>
      </c>
      <c r="G460" s="1859" t="s">
        <v>22</v>
      </c>
      <c r="H460" s="1859" t="s">
        <v>22</v>
      </c>
      <c r="I460" s="1859" t="s">
        <v>1009</v>
      </c>
    </row>
    <row customHeight="1" ht="11.25">
      <c r="A461" s="1859" t="s">
        <v>2335</v>
      </c>
      <c r="B461" s="1859" t="s">
        <v>16</v>
      </c>
      <c r="C461" s="1859" t="s">
        <v>3349</v>
      </c>
      <c r="D461" s="1859" t="s">
        <v>3350</v>
      </c>
      <c r="E461" s="1859" t="s">
        <v>3351</v>
      </c>
      <c r="F461" s="1859" t="s">
        <v>2658</v>
      </c>
      <c r="G461" s="1859" t="s">
        <v>22</v>
      </c>
      <c r="H461" s="1859" t="s">
        <v>22</v>
      </c>
      <c r="I461" s="1859" t="s">
        <v>1009</v>
      </c>
    </row>
    <row customHeight="1" ht="11.25">
      <c r="A462" s="1859" t="s">
        <v>2335</v>
      </c>
      <c r="B462" s="1859" t="s">
        <v>16</v>
      </c>
      <c r="C462" s="1859" t="s">
        <v>3352</v>
      </c>
      <c r="D462" s="1859" t="s">
        <v>3353</v>
      </c>
      <c r="E462" s="1859" t="s">
        <v>3354</v>
      </c>
      <c r="F462" s="1859" t="s">
        <v>2473</v>
      </c>
      <c r="G462" s="1859" t="s">
        <v>22</v>
      </c>
      <c r="H462" s="1859" t="s">
        <v>22</v>
      </c>
      <c r="I462" s="1859" t="s">
        <v>1009</v>
      </c>
    </row>
    <row customHeight="1" ht="11.25">
      <c r="A463" s="1859" t="s">
        <v>2335</v>
      </c>
      <c r="B463" s="1859" t="s">
        <v>16</v>
      </c>
      <c r="C463" s="1859" t="s">
        <v>2437</v>
      </c>
      <c r="D463" s="1859" t="s">
        <v>2438</v>
      </c>
      <c r="E463" s="1859" t="s">
        <v>2435</v>
      </c>
      <c r="F463" s="1859" t="s">
        <v>2439</v>
      </c>
      <c r="G463" s="1859" t="s">
        <v>22</v>
      </c>
      <c r="H463" s="1859" t="s">
        <v>22</v>
      </c>
      <c r="I463" s="1859" t="s">
        <v>1009</v>
      </c>
    </row>
    <row customHeight="1" ht="11.25">
      <c r="A464" s="1859" t="s">
        <v>2335</v>
      </c>
      <c r="B464" s="1859" t="s">
        <v>16</v>
      </c>
      <c r="C464" s="1859" t="s">
        <v>2440</v>
      </c>
      <c r="D464" s="1859" t="s">
        <v>2441</v>
      </c>
      <c r="E464" s="1859" t="s">
        <v>2442</v>
      </c>
      <c r="F464" s="1859" t="s">
        <v>2429</v>
      </c>
      <c r="G464" s="1859" t="s">
        <v>22</v>
      </c>
      <c r="H464" s="1859" t="s">
        <v>22</v>
      </c>
      <c r="I464" s="1859" t="s">
        <v>1009</v>
      </c>
    </row>
    <row customHeight="1" ht="11.25">
      <c r="A465" s="1859" t="s">
        <v>2335</v>
      </c>
      <c r="B465" s="1859" t="s">
        <v>16</v>
      </c>
      <c r="C465" s="1859" t="s">
        <v>22</v>
      </c>
      <c r="D465" s="1859" t="s">
        <v>2456</v>
      </c>
      <c r="E465" s="1859" t="s">
        <v>2457</v>
      </c>
      <c r="F465" s="1859" t="s">
        <v>2349</v>
      </c>
      <c r="G465" s="1859" t="s">
        <v>22</v>
      </c>
      <c r="H465" s="1859" t="s">
        <v>22</v>
      </c>
      <c r="I465" s="1859" t="s">
        <v>1009</v>
      </c>
    </row>
    <row customHeight="1" ht="11.25">
      <c r="A466" s="1859" t="s">
        <v>2335</v>
      </c>
      <c r="B466" s="1859" t="s">
        <v>16</v>
      </c>
      <c r="C466" s="1859" t="s">
        <v>3355</v>
      </c>
      <c r="D466" s="1859" t="s">
        <v>3356</v>
      </c>
      <c r="E466" s="1859" t="s">
        <v>3357</v>
      </c>
      <c r="F466" s="1859" t="s">
        <v>2406</v>
      </c>
      <c r="G466" s="1859" t="s">
        <v>22</v>
      </c>
      <c r="H466" s="1859" t="s">
        <v>22</v>
      </c>
      <c r="I466" s="1859" t="s">
        <v>1009</v>
      </c>
    </row>
    <row customHeight="1" ht="11.25">
      <c r="A467" s="1859" t="s">
        <v>2335</v>
      </c>
      <c r="B467" s="1859" t="s">
        <v>16</v>
      </c>
      <c r="C467" s="1859" t="s">
        <v>2470</v>
      </c>
      <c r="D467" s="1859" t="s">
        <v>2471</v>
      </c>
      <c r="E467" s="1859" t="s">
        <v>2472</v>
      </c>
      <c r="F467" s="1859" t="s">
        <v>2473</v>
      </c>
      <c r="G467" s="1859" t="s">
        <v>2474</v>
      </c>
      <c r="H467" s="1859" t="s">
        <v>22</v>
      </c>
      <c r="I467" s="1859" t="s">
        <v>1009</v>
      </c>
    </row>
    <row customHeight="1" ht="11.25">
      <c r="A468" s="1859" t="s">
        <v>2335</v>
      </c>
      <c r="B468" s="1859" t="s">
        <v>16</v>
      </c>
      <c r="C468" s="1859" t="s">
        <v>2475</v>
      </c>
      <c r="D468" s="1859" t="s">
        <v>2476</v>
      </c>
      <c r="E468" s="1859" t="s">
        <v>2477</v>
      </c>
      <c r="F468" s="1859" t="s">
        <v>2406</v>
      </c>
      <c r="G468" s="1859" t="s">
        <v>22</v>
      </c>
      <c r="H468" s="1859" t="s">
        <v>22</v>
      </c>
      <c r="I468" s="1859" t="s">
        <v>1009</v>
      </c>
    </row>
    <row customHeight="1" ht="11.25">
      <c r="A469" s="1859" t="s">
        <v>2335</v>
      </c>
      <c r="B469" s="1859" t="s">
        <v>16</v>
      </c>
      <c r="C469" s="1859" t="s">
        <v>2478</v>
      </c>
      <c r="D469" s="1859" t="s">
        <v>2479</v>
      </c>
      <c r="E469" s="1859" t="s">
        <v>2480</v>
      </c>
      <c r="F469" s="1859" t="s">
        <v>2481</v>
      </c>
      <c r="G469" s="1859" t="s">
        <v>22</v>
      </c>
      <c r="H469" s="1859" t="s">
        <v>22</v>
      </c>
      <c r="I469" s="1859" t="s">
        <v>1009</v>
      </c>
    </row>
    <row customHeight="1" ht="11.25">
      <c r="A470" s="1859" t="s">
        <v>2335</v>
      </c>
      <c r="B470" s="1859" t="s">
        <v>16</v>
      </c>
      <c r="C470" s="1859" t="s">
        <v>2485</v>
      </c>
      <c r="D470" s="1859" t="s">
        <v>2486</v>
      </c>
      <c r="E470" s="1859" t="s">
        <v>2487</v>
      </c>
      <c r="F470" s="1859" t="s">
        <v>648</v>
      </c>
      <c r="G470" s="1859" t="s">
        <v>22</v>
      </c>
      <c r="H470" s="1859" t="s">
        <v>22</v>
      </c>
      <c r="I470" s="1859" t="s">
        <v>1009</v>
      </c>
    </row>
    <row customHeight="1" ht="11.25">
      <c r="A471" s="1859" t="s">
        <v>2335</v>
      </c>
      <c r="B471" s="1859" t="s">
        <v>16</v>
      </c>
      <c r="C471" s="1859" t="s">
        <v>3358</v>
      </c>
      <c r="D471" s="1859" t="s">
        <v>3359</v>
      </c>
      <c r="E471" s="1859" t="s">
        <v>3360</v>
      </c>
      <c r="F471" s="1859" t="s">
        <v>648</v>
      </c>
      <c r="G471" s="1859" t="s">
        <v>3361</v>
      </c>
      <c r="H471" s="1859" t="s">
        <v>22</v>
      </c>
      <c r="I471" s="1859" t="s">
        <v>1009</v>
      </c>
    </row>
    <row customHeight="1" ht="11.25">
      <c r="A472" s="1859" t="s">
        <v>2335</v>
      </c>
      <c r="B472" s="1859" t="s">
        <v>16</v>
      </c>
      <c r="C472" s="1859" t="s">
        <v>2491</v>
      </c>
      <c r="D472" s="1859" t="s">
        <v>2492</v>
      </c>
      <c r="E472" s="1859" t="s">
        <v>2493</v>
      </c>
      <c r="F472" s="1859" t="s">
        <v>648</v>
      </c>
      <c r="G472" s="1859" t="s">
        <v>2494</v>
      </c>
      <c r="H472" s="1859" t="s">
        <v>22</v>
      </c>
      <c r="I472" s="1859" t="s">
        <v>1009</v>
      </c>
    </row>
    <row customHeight="1" ht="11.25">
      <c r="A473" s="1859" t="s">
        <v>2335</v>
      </c>
      <c r="B473" s="1859" t="s">
        <v>16</v>
      </c>
      <c r="C473" s="1859" t="s">
        <v>2495</v>
      </c>
      <c r="D473" s="1859" t="s">
        <v>2496</v>
      </c>
      <c r="E473" s="1859" t="s">
        <v>2497</v>
      </c>
      <c r="F473" s="1859" t="s">
        <v>648</v>
      </c>
      <c r="G473" s="1859" t="s">
        <v>22</v>
      </c>
      <c r="H473" s="1859" t="s">
        <v>22</v>
      </c>
      <c r="I473" s="1859" t="s">
        <v>1009</v>
      </c>
    </row>
    <row customHeight="1" ht="11.25">
      <c r="A474" s="1859" t="s">
        <v>2335</v>
      </c>
      <c r="B474" s="1859" t="s">
        <v>16</v>
      </c>
      <c r="C474" s="1859" t="s">
        <v>2503</v>
      </c>
      <c r="D474" s="1859" t="s">
        <v>2504</v>
      </c>
      <c r="E474" s="1859" t="s">
        <v>2505</v>
      </c>
      <c r="F474" s="1859" t="s">
        <v>2506</v>
      </c>
      <c r="G474" s="1859" t="s">
        <v>22</v>
      </c>
      <c r="H474" s="1859" t="s">
        <v>22</v>
      </c>
      <c r="I474" s="1859" t="s">
        <v>1009</v>
      </c>
    </row>
    <row customHeight="1" ht="11.25">
      <c r="A475" s="1859" t="s">
        <v>2335</v>
      </c>
      <c r="B475" s="1859" t="s">
        <v>16</v>
      </c>
      <c r="C475" s="1859" t="s">
        <v>3018</v>
      </c>
      <c r="D475" s="1859" t="s">
        <v>3019</v>
      </c>
      <c r="E475" s="1859" t="s">
        <v>2505</v>
      </c>
      <c r="F475" s="1859" t="s">
        <v>3020</v>
      </c>
      <c r="G475" s="1859" t="s">
        <v>22</v>
      </c>
      <c r="H475" s="1859" t="s">
        <v>22</v>
      </c>
      <c r="I475" s="1859" t="s">
        <v>1009</v>
      </c>
    </row>
    <row customHeight="1" ht="11.25">
      <c r="A476" s="1859" t="s">
        <v>2335</v>
      </c>
      <c r="B476" s="1859" t="s">
        <v>16</v>
      </c>
      <c r="C476" s="1859" t="s">
        <v>2507</v>
      </c>
      <c r="D476" s="1859" t="s">
        <v>2508</v>
      </c>
      <c r="E476" s="1859" t="s">
        <v>2460</v>
      </c>
      <c r="F476" s="1859" t="s">
        <v>2509</v>
      </c>
      <c r="G476" s="1859" t="s">
        <v>22</v>
      </c>
      <c r="H476" s="1859" t="s">
        <v>22</v>
      </c>
      <c r="I476" s="1859" t="s">
        <v>1009</v>
      </c>
    </row>
    <row customHeight="1" ht="11.25">
      <c r="A477" s="1859" t="s">
        <v>2335</v>
      </c>
      <c r="B477" s="1859" t="s">
        <v>16</v>
      </c>
      <c r="C477" s="1859" t="s">
        <v>2515</v>
      </c>
      <c r="D477" s="1859" t="s">
        <v>2516</v>
      </c>
      <c r="E477" s="1859" t="s">
        <v>2517</v>
      </c>
      <c r="F477" s="1859" t="s">
        <v>2518</v>
      </c>
      <c r="G477" s="1859" t="s">
        <v>22</v>
      </c>
      <c r="H477" s="1859" t="s">
        <v>22</v>
      </c>
      <c r="I477" s="1859" t="s">
        <v>1009</v>
      </c>
    </row>
    <row customHeight="1" ht="11.25">
      <c r="A478" s="1859" t="s">
        <v>2335</v>
      </c>
      <c r="B478" s="1859" t="s">
        <v>16</v>
      </c>
      <c r="C478" s="1859" t="s">
        <v>3034</v>
      </c>
      <c r="D478" s="1859" t="s">
        <v>3035</v>
      </c>
      <c r="E478" s="1859" t="s">
        <v>3036</v>
      </c>
      <c r="F478" s="1859" t="s">
        <v>2395</v>
      </c>
      <c r="G478" s="1859" t="s">
        <v>22</v>
      </c>
      <c r="H478" s="1859" t="s">
        <v>22</v>
      </c>
      <c r="I478" s="1859" t="s">
        <v>1009</v>
      </c>
    </row>
    <row customHeight="1" ht="11.25">
      <c r="A479" s="1859" t="s">
        <v>2335</v>
      </c>
      <c r="B479" s="1859" t="s">
        <v>16</v>
      </c>
      <c r="C479" s="1859" t="s">
        <v>2522</v>
      </c>
      <c r="D479" s="1859" t="s">
        <v>2523</v>
      </c>
      <c r="E479" s="1859" t="s">
        <v>2524</v>
      </c>
      <c r="F479" s="1859" t="s">
        <v>2518</v>
      </c>
      <c r="G479" s="1859" t="s">
        <v>2525</v>
      </c>
      <c r="H479" s="1859" t="s">
        <v>22</v>
      </c>
      <c r="I479" s="1859" t="s">
        <v>1009</v>
      </c>
    </row>
    <row customHeight="1" ht="11.25">
      <c r="A480" s="1859" t="s">
        <v>2335</v>
      </c>
      <c r="B480" s="1859" t="s">
        <v>16</v>
      </c>
      <c r="C480" s="1859" t="s">
        <v>2526</v>
      </c>
      <c r="D480" s="1859" t="s">
        <v>2527</v>
      </c>
      <c r="E480" s="1859" t="s">
        <v>2528</v>
      </c>
      <c r="F480" s="1859" t="s">
        <v>2518</v>
      </c>
      <c r="G480" s="1859" t="s">
        <v>2529</v>
      </c>
      <c r="H480" s="1859" t="s">
        <v>22</v>
      </c>
      <c r="I480" s="1859" t="s">
        <v>1009</v>
      </c>
    </row>
    <row customHeight="1" ht="11.25">
      <c r="A481" s="1859" t="s">
        <v>2335</v>
      </c>
      <c r="B481" s="1859" t="s">
        <v>16</v>
      </c>
      <c r="C481" s="1859" t="s">
        <v>2530</v>
      </c>
      <c r="D481" s="1859" t="s">
        <v>2531</v>
      </c>
      <c r="E481" s="1859" t="s">
        <v>2532</v>
      </c>
      <c r="F481" s="1859" t="s">
        <v>2469</v>
      </c>
      <c r="G481" s="1859" t="s">
        <v>22</v>
      </c>
      <c r="H481" s="1859" t="s">
        <v>22</v>
      </c>
      <c r="I481" s="1859" t="s">
        <v>1009</v>
      </c>
    </row>
    <row customHeight="1" ht="11.25">
      <c r="A482" s="1859" t="s">
        <v>2335</v>
      </c>
      <c r="B482" s="1859" t="s">
        <v>16</v>
      </c>
      <c r="C482" s="1859" t="s">
        <v>3040</v>
      </c>
      <c r="D482" s="1859" t="s">
        <v>3041</v>
      </c>
      <c r="E482" s="1859" t="s">
        <v>3042</v>
      </c>
      <c r="F482" s="1859" t="s">
        <v>3043</v>
      </c>
      <c r="G482" s="1859" t="s">
        <v>22</v>
      </c>
      <c r="H482" s="1859" t="s">
        <v>22</v>
      </c>
      <c r="I482" s="1859" t="s">
        <v>1009</v>
      </c>
    </row>
    <row customHeight="1" ht="11.25">
      <c r="A483" s="1859" t="s">
        <v>2335</v>
      </c>
      <c r="B483" s="1859" t="s">
        <v>16</v>
      </c>
      <c r="C483" s="1859" t="s">
        <v>2533</v>
      </c>
      <c r="D483" s="1859" t="s">
        <v>2534</v>
      </c>
      <c r="E483" s="1859" t="s">
        <v>2535</v>
      </c>
      <c r="F483" s="1859" t="s">
        <v>2518</v>
      </c>
      <c r="G483" s="1859" t="s">
        <v>22</v>
      </c>
      <c r="H483" s="1859" t="s">
        <v>22</v>
      </c>
      <c r="I483" s="1859" t="s">
        <v>1009</v>
      </c>
    </row>
    <row customHeight="1" ht="11.25">
      <c r="A484" s="1859" t="s">
        <v>2335</v>
      </c>
      <c r="B484" s="1859" t="s">
        <v>16</v>
      </c>
      <c r="C484" s="1859" t="s">
        <v>2536</v>
      </c>
      <c r="D484" s="1859" t="s">
        <v>2537</v>
      </c>
      <c r="E484" s="1859" t="s">
        <v>2538</v>
      </c>
      <c r="F484" s="1859" t="s">
        <v>2539</v>
      </c>
      <c r="G484" s="1859" t="s">
        <v>22</v>
      </c>
      <c r="H484" s="1859" t="s">
        <v>22</v>
      </c>
      <c r="I484" s="1859" t="s">
        <v>1009</v>
      </c>
    </row>
    <row customHeight="1" ht="11.25">
      <c r="A485" s="1859" t="s">
        <v>2335</v>
      </c>
      <c r="B485" s="1859" t="s">
        <v>16</v>
      </c>
      <c r="C485" s="1859" t="s">
        <v>3047</v>
      </c>
      <c r="D485" s="1859" t="s">
        <v>3048</v>
      </c>
      <c r="E485" s="1859" t="s">
        <v>3049</v>
      </c>
      <c r="F485" s="1859" t="s">
        <v>2465</v>
      </c>
      <c r="G485" s="1859" t="s">
        <v>22</v>
      </c>
      <c r="H485" s="1859" t="s">
        <v>22</v>
      </c>
      <c r="I485" s="1859" t="s">
        <v>1009</v>
      </c>
    </row>
    <row customHeight="1" ht="11.25">
      <c r="A486" s="1859" t="s">
        <v>2335</v>
      </c>
      <c r="B486" s="1859" t="s">
        <v>16</v>
      </c>
      <c r="C486" s="1859" t="s">
        <v>3362</v>
      </c>
      <c r="D486" s="1859" t="s">
        <v>3363</v>
      </c>
      <c r="E486" s="1859" t="s">
        <v>3364</v>
      </c>
      <c r="F486" s="1859" t="s">
        <v>2658</v>
      </c>
      <c r="G486" s="1859" t="s">
        <v>22</v>
      </c>
      <c r="H486" s="1859" t="s">
        <v>22</v>
      </c>
      <c r="I486" s="1859" t="s">
        <v>1009</v>
      </c>
    </row>
    <row customHeight="1" ht="11.25">
      <c r="A487" s="1859" t="s">
        <v>2335</v>
      </c>
      <c r="B487" s="1859" t="s">
        <v>16</v>
      </c>
      <c r="C487" s="1859" t="s">
        <v>2547</v>
      </c>
      <c r="D487" s="1859" t="s">
        <v>2548</v>
      </c>
      <c r="E487" s="1859" t="s">
        <v>2549</v>
      </c>
      <c r="F487" s="1859" t="s">
        <v>51</v>
      </c>
      <c r="G487" s="1859" t="s">
        <v>2550</v>
      </c>
      <c r="H487" s="1859" t="s">
        <v>22</v>
      </c>
      <c r="I487" s="1859" t="s">
        <v>1009</v>
      </c>
    </row>
    <row customHeight="1" ht="11.25">
      <c r="A488" s="1859" t="s">
        <v>2335</v>
      </c>
      <c r="B488" s="1859" t="s">
        <v>16</v>
      </c>
      <c r="C488" s="1859" t="s">
        <v>2551</v>
      </c>
      <c r="D488" s="1859" t="s">
        <v>2552</v>
      </c>
      <c r="E488" s="1859" t="s">
        <v>2553</v>
      </c>
      <c r="F488" s="1859" t="s">
        <v>2518</v>
      </c>
      <c r="G488" s="1859" t="s">
        <v>22</v>
      </c>
      <c r="H488" s="1859" t="s">
        <v>22</v>
      </c>
      <c r="I488" s="1859" t="s">
        <v>1009</v>
      </c>
    </row>
    <row customHeight="1" ht="11.25">
      <c r="A489" s="1859" t="s">
        <v>2335</v>
      </c>
      <c r="B489" s="1859" t="s">
        <v>16</v>
      </c>
      <c r="C489" s="1859" t="s">
        <v>3063</v>
      </c>
      <c r="D489" s="1859" t="s">
        <v>3064</v>
      </c>
      <c r="E489" s="1859" t="s">
        <v>3065</v>
      </c>
      <c r="F489" s="1859" t="s">
        <v>2395</v>
      </c>
      <c r="G489" s="1859" t="s">
        <v>22</v>
      </c>
      <c r="H489" s="1859" t="s">
        <v>22</v>
      </c>
      <c r="I489" s="1859" t="s">
        <v>1009</v>
      </c>
    </row>
    <row customHeight="1" ht="11.25">
      <c r="A490" s="1859" t="s">
        <v>2335</v>
      </c>
      <c r="B490" s="1859" t="s">
        <v>16</v>
      </c>
      <c r="C490" s="1859" t="s">
        <v>3066</v>
      </c>
      <c r="D490" s="1859" t="s">
        <v>3067</v>
      </c>
      <c r="E490" s="1859" t="s">
        <v>3068</v>
      </c>
      <c r="F490" s="1859" t="s">
        <v>51</v>
      </c>
      <c r="G490" s="1859" t="s">
        <v>22</v>
      </c>
      <c r="H490" s="1859" t="s">
        <v>22</v>
      </c>
      <c r="I490" s="1859" t="s">
        <v>1009</v>
      </c>
    </row>
    <row customHeight="1" ht="11.25">
      <c r="A491" s="1859" t="s">
        <v>2335</v>
      </c>
      <c r="B491" s="1859" t="s">
        <v>16</v>
      </c>
      <c r="C491" s="1859" t="s">
        <v>3069</v>
      </c>
      <c r="D491" s="1859" t="s">
        <v>3070</v>
      </c>
      <c r="E491" s="1859" t="s">
        <v>3071</v>
      </c>
      <c r="F491" s="1859" t="s">
        <v>2395</v>
      </c>
      <c r="G491" s="1859" t="s">
        <v>3072</v>
      </c>
      <c r="H491" s="1859" t="s">
        <v>22</v>
      </c>
      <c r="I491" s="1859" t="s">
        <v>1009</v>
      </c>
    </row>
    <row customHeight="1" ht="11.25">
      <c r="A492" s="1859" t="s">
        <v>2335</v>
      </c>
      <c r="B492" s="1859" t="s">
        <v>16</v>
      </c>
      <c r="C492" s="1859" t="s">
        <v>3073</v>
      </c>
      <c r="D492" s="1859" t="s">
        <v>3074</v>
      </c>
      <c r="E492" s="1859" t="s">
        <v>3075</v>
      </c>
      <c r="F492" s="1859" t="s">
        <v>2395</v>
      </c>
      <c r="G492" s="1859" t="s">
        <v>3076</v>
      </c>
      <c r="H492" s="1859" t="s">
        <v>22</v>
      </c>
      <c r="I492" s="1859" t="s">
        <v>1009</v>
      </c>
    </row>
    <row customHeight="1" ht="11.25">
      <c r="A493" s="1859" t="s">
        <v>2335</v>
      </c>
      <c r="B493" s="1859" t="s">
        <v>16</v>
      </c>
      <c r="C493" s="1859" t="s">
        <v>3080</v>
      </c>
      <c r="D493" s="1859" t="s">
        <v>3081</v>
      </c>
      <c r="E493" s="1859" t="s">
        <v>3082</v>
      </c>
      <c r="F493" s="1859" t="s">
        <v>2481</v>
      </c>
      <c r="G493" s="1859" t="s">
        <v>22</v>
      </c>
      <c r="H493" s="1859" t="s">
        <v>22</v>
      </c>
      <c r="I493" s="1859" t="s">
        <v>1009</v>
      </c>
    </row>
    <row customHeight="1" ht="11.25">
      <c r="A494" s="1859" t="s">
        <v>2335</v>
      </c>
      <c r="B494" s="1859" t="s">
        <v>16</v>
      </c>
      <c r="C494" s="1859" t="s">
        <v>3083</v>
      </c>
      <c r="D494" s="1859" t="s">
        <v>3084</v>
      </c>
      <c r="E494" s="1859" t="s">
        <v>3085</v>
      </c>
      <c r="F494" s="1859" t="s">
        <v>2576</v>
      </c>
      <c r="G494" s="1859" t="s">
        <v>22</v>
      </c>
      <c r="H494" s="1859" t="s">
        <v>22</v>
      </c>
      <c r="I494" s="1859" t="s">
        <v>1009</v>
      </c>
    </row>
    <row customHeight="1" ht="11.25">
      <c r="A495" s="1859" t="s">
        <v>2335</v>
      </c>
      <c r="B495" s="1859" t="s">
        <v>16</v>
      </c>
      <c r="C495" s="1859" t="s">
        <v>3086</v>
      </c>
      <c r="D495" s="1859" t="s">
        <v>3087</v>
      </c>
      <c r="E495" s="1859" t="s">
        <v>3088</v>
      </c>
      <c r="F495" s="1859" t="s">
        <v>2395</v>
      </c>
      <c r="G495" s="1859" t="s">
        <v>22</v>
      </c>
      <c r="H495" s="1859" t="s">
        <v>22</v>
      </c>
      <c r="I495" s="1859" t="s">
        <v>1009</v>
      </c>
    </row>
    <row customHeight="1" ht="11.25">
      <c r="A496" s="1859" t="s">
        <v>2335</v>
      </c>
      <c r="B496" s="1859" t="s">
        <v>16</v>
      </c>
      <c r="C496" s="1859" t="s">
        <v>3089</v>
      </c>
      <c r="D496" s="1859" t="s">
        <v>3090</v>
      </c>
      <c r="E496" s="1859" t="s">
        <v>3091</v>
      </c>
      <c r="F496" s="1859" t="s">
        <v>2395</v>
      </c>
      <c r="G496" s="1859" t="s">
        <v>3092</v>
      </c>
      <c r="H496" s="1859" t="s">
        <v>22</v>
      </c>
      <c r="I496" s="1859" t="s">
        <v>1009</v>
      </c>
    </row>
    <row customHeight="1" ht="11.25">
      <c r="A497" s="1859" t="s">
        <v>2335</v>
      </c>
      <c r="B497" s="1859" t="s">
        <v>16</v>
      </c>
      <c r="C497" s="1859" t="s">
        <v>2557</v>
      </c>
      <c r="D497" s="1859" t="s">
        <v>2558</v>
      </c>
      <c r="E497" s="1859" t="s">
        <v>2559</v>
      </c>
      <c r="F497" s="1859" t="s">
        <v>2560</v>
      </c>
      <c r="G497" s="1859" t="s">
        <v>22</v>
      </c>
      <c r="H497" s="1859" t="s">
        <v>22</v>
      </c>
      <c r="I497" s="1859" t="s">
        <v>1009</v>
      </c>
    </row>
    <row customHeight="1" ht="11.25">
      <c r="A498" s="1859" t="s">
        <v>2335</v>
      </c>
      <c r="B498" s="1859" t="s">
        <v>16</v>
      </c>
      <c r="C498" s="1859" t="s">
        <v>3108</v>
      </c>
      <c r="D498" s="1859" t="s">
        <v>3109</v>
      </c>
      <c r="E498" s="1859" t="s">
        <v>3110</v>
      </c>
      <c r="F498" s="1859" t="s">
        <v>2586</v>
      </c>
      <c r="G498" s="1859" t="s">
        <v>22</v>
      </c>
      <c r="H498" s="1859" t="s">
        <v>22</v>
      </c>
      <c r="I498" s="1859" t="s">
        <v>1009</v>
      </c>
    </row>
    <row customHeight="1" ht="11.25">
      <c r="A499" s="1859" t="s">
        <v>2335</v>
      </c>
      <c r="B499" s="1859" t="s">
        <v>16</v>
      </c>
      <c r="C499" s="1859" t="s">
        <v>2561</v>
      </c>
      <c r="D499" s="1859" t="s">
        <v>2562</v>
      </c>
      <c r="E499" s="1859" t="s">
        <v>2563</v>
      </c>
      <c r="F499" s="1859" t="s">
        <v>2372</v>
      </c>
      <c r="G499" s="1859" t="s">
        <v>2564</v>
      </c>
      <c r="H499" s="1859" t="s">
        <v>2565</v>
      </c>
      <c r="I499" s="1859" t="s">
        <v>1009</v>
      </c>
    </row>
    <row customHeight="1" ht="11.25">
      <c r="A500" s="1859" t="s">
        <v>2335</v>
      </c>
      <c r="B500" s="1859" t="s">
        <v>16</v>
      </c>
      <c r="C500" s="1859" t="s">
        <v>3133</v>
      </c>
      <c r="D500" s="1859" t="s">
        <v>3134</v>
      </c>
      <c r="E500" s="1859" t="s">
        <v>3135</v>
      </c>
      <c r="F500" s="1859" t="s">
        <v>2395</v>
      </c>
      <c r="G500" s="1859" t="s">
        <v>3136</v>
      </c>
      <c r="H500" s="1859" t="s">
        <v>22</v>
      </c>
      <c r="I500" s="1859" t="s">
        <v>1009</v>
      </c>
    </row>
    <row customHeight="1" ht="11.25">
      <c r="A501" s="1859" t="s">
        <v>2335</v>
      </c>
      <c r="B501" s="1859" t="s">
        <v>16</v>
      </c>
      <c r="C501" s="1859" t="s">
        <v>3137</v>
      </c>
      <c r="D501" s="1859" t="s">
        <v>3138</v>
      </c>
      <c r="E501" s="1859" t="s">
        <v>3139</v>
      </c>
      <c r="F501" s="1859" t="s">
        <v>2395</v>
      </c>
      <c r="G501" s="1859" t="s">
        <v>22</v>
      </c>
      <c r="H501" s="1859" t="s">
        <v>22</v>
      </c>
      <c r="I501" s="1859" t="s">
        <v>1009</v>
      </c>
    </row>
    <row customHeight="1" ht="11.25">
      <c r="A502" s="1859" t="s">
        <v>2335</v>
      </c>
      <c r="B502" s="1859" t="s">
        <v>16</v>
      </c>
      <c r="C502" s="1859" t="s">
        <v>3147</v>
      </c>
      <c r="D502" s="1859" t="s">
        <v>3148</v>
      </c>
      <c r="E502" s="1859" t="s">
        <v>3149</v>
      </c>
      <c r="F502" s="1859" t="s">
        <v>2395</v>
      </c>
      <c r="G502" s="1859" t="s">
        <v>22</v>
      </c>
      <c r="H502" s="1859" t="s">
        <v>22</v>
      </c>
      <c r="I502" s="1859" t="s">
        <v>1009</v>
      </c>
    </row>
    <row customHeight="1" ht="11.25">
      <c r="A503" s="1859" t="s">
        <v>2335</v>
      </c>
      <c r="B503" s="1859" t="s">
        <v>16</v>
      </c>
      <c r="C503" s="1859" t="s">
        <v>3157</v>
      </c>
      <c r="D503" s="1859" t="s">
        <v>3158</v>
      </c>
      <c r="E503" s="1859" t="s">
        <v>3159</v>
      </c>
      <c r="F503" s="1859" t="s">
        <v>2942</v>
      </c>
      <c r="G503" s="1859" t="s">
        <v>22</v>
      </c>
      <c r="H503" s="1859" t="s">
        <v>22</v>
      </c>
      <c r="I503" s="1859" t="s">
        <v>1009</v>
      </c>
    </row>
    <row customHeight="1" ht="11.25">
      <c r="A504" s="1859" t="s">
        <v>2335</v>
      </c>
      <c r="B504" s="1859" t="s">
        <v>16</v>
      </c>
      <c r="C504" s="1859" t="s">
        <v>2577</v>
      </c>
      <c r="D504" s="1859" t="s">
        <v>2578</v>
      </c>
      <c r="E504" s="1859" t="s">
        <v>2579</v>
      </c>
      <c r="F504" s="1859" t="s">
        <v>2576</v>
      </c>
      <c r="G504" s="1859" t="s">
        <v>22</v>
      </c>
      <c r="H504" s="1859" t="s">
        <v>22</v>
      </c>
      <c r="I504" s="1859" t="s">
        <v>1009</v>
      </c>
    </row>
    <row customHeight="1" ht="11.25">
      <c r="A505" s="1859" t="s">
        <v>2335</v>
      </c>
      <c r="B505" s="1859" t="s">
        <v>16</v>
      </c>
      <c r="C505" s="1859" t="s">
        <v>2580</v>
      </c>
      <c r="D505" s="1859" t="s">
        <v>2581</v>
      </c>
      <c r="E505" s="1859" t="s">
        <v>2582</v>
      </c>
      <c r="F505" s="1859" t="s">
        <v>2395</v>
      </c>
      <c r="G505" s="1859" t="s">
        <v>22</v>
      </c>
      <c r="H505" s="1859" t="s">
        <v>22</v>
      </c>
      <c r="I505" s="1859" t="s">
        <v>1009</v>
      </c>
    </row>
    <row customHeight="1" ht="11.25">
      <c r="A506" s="1859" t="s">
        <v>2335</v>
      </c>
      <c r="B506" s="1859" t="s">
        <v>16</v>
      </c>
      <c r="C506" s="1859" t="s">
        <v>3174</v>
      </c>
      <c r="D506" s="1859" t="s">
        <v>3175</v>
      </c>
      <c r="E506" s="1859" t="s">
        <v>3176</v>
      </c>
      <c r="F506" s="1859" t="s">
        <v>51</v>
      </c>
      <c r="G506" s="1859" t="s">
        <v>22</v>
      </c>
      <c r="H506" s="1859" t="s">
        <v>22</v>
      </c>
      <c r="I506" s="1859" t="s">
        <v>1009</v>
      </c>
    </row>
    <row customHeight="1" ht="11.25">
      <c r="A507" s="1859" t="s">
        <v>2335</v>
      </c>
      <c r="B507" s="1859" t="s">
        <v>16</v>
      </c>
      <c r="C507" s="1859" t="s">
        <v>2583</v>
      </c>
      <c r="D507" s="1859" t="s">
        <v>2584</v>
      </c>
      <c r="E507" s="1859" t="s">
        <v>2585</v>
      </c>
      <c r="F507" s="1859" t="s">
        <v>2586</v>
      </c>
      <c r="G507" s="1859" t="s">
        <v>22</v>
      </c>
      <c r="H507" s="1859" t="s">
        <v>22</v>
      </c>
      <c r="I507" s="1859" t="s">
        <v>1009</v>
      </c>
    </row>
    <row customHeight="1" ht="11.25">
      <c r="A508" s="1859" t="s">
        <v>2335</v>
      </c>
      <c r="B508" s="1859" t="s">
        <v>16</v>
      </c>
      <c r="C508" s="1859" t="s">
        <v>2587</v>
      </c>
      <c r="D508" s="1859" t="s">
        <v>2588</v>
      </c>
      <c r="E508" s="1859" t="s">
        <v>2589</v>
      </c>
      <c r="F508" s="1859" t="s">
        <v>2586</v>
      </c>
      <c r="G508" s="1859" t="s">
        <v>22</v>
      </c>
      <c r="H508" s="1859" t="s">
        <v>22</v>
      </c>
      <c r="I508" s="1859" t="s">
        <v>1009</v>
      </c>
    </row>
    <row customHeight="1" ht="11.25">
      <c r="A509" s="1859" t="s">
        <v>2335</v>
      </c>
      <c r="B509" s="1859" t="s">
        <v>16</v>
      </c>
      <c r="C509" s="1859" t="s">
        <v>2590</v>
      </c>
      <c r="D509" s="1859" t="s">
        <v>2591</v>
      </c>
      <c r="E509" s="1859" t="s">
        <v>2592</v>
      </c>
      <c r="F509" s="1859" t="s">
        <v>2560</v>
      </c>
      <c r="G509" s="1859" t="s">
        <v>22</v>
      </c>
      <c r="H509" s="1859" t="s">
        <v>22</v>
      </c>
      <c r="I509" s="1859" t="s">
        <v>1009</v>
      </c>
    </row>
    <row customHeight="1" ht="11.25">
      <c r="A510" s="1859" t="s">
        <v>2335</v>
      </c>
      <c r="B510" s="1859" t="s">
        <v>16</v>
      </c>
      <c r="C510" s="1859" t="s">
        <v>2593</v>
      </c>
      <c r="D510" s="1859" t="s">
        <v>2594</v>
      </c>
      <c r="E510" s="1859" t="s">
        <v>2595</v>
      </c>
      <c r="F510" s="1859" t="s">
        <v>2576</v>
      </c>
      <c r="G510" s="1859" t="s">
        <v>22</v>
      </c>
      <c r="H510" s="1859" t="s">
        <v>22</v>
      </c>
      <c r="I510" s="1859" t="s">
        <v>1009</v>
      </c>
    </row>
    <row customHeight="1" ht="11.25">
      <c r="A511" s="1859" t="s">
        <v>2335</v>
      </c>
      <c r="B511" s="1859" t="s">
        <v>16</v>
      </c>
      <c r="C511" s="1859" t="s">
        <v>2599</v>
      </c>
      <c r="D511" s="1859" t="s">
        <v>2600</v>
      </c>
      <c r="E511" s="1859" t="s">
        <v>2601</v>
      </c>
      <c r="F511" s="1859" t="s">
        <v>2586</v>
      </c>
      <c r="G511" s="1859" t="s">
        <v>22</v>
      </c>
      <c r="H511" s="1859" t="s">
        <v>22</v>
      </c>
      <c r="I511" s="1859" t="s">
        <v>1009</v>
      </c>
    </row>
    <row customHeight="1" ht="11.25">
      <c r="A512" s="1859" t="s">
        <v>2335</v>
      </c>
      <c r="B512" s="1859" t="s">
        <v>16</v>
      </c>
      <c r="C512" s="1859" t="s">
        <v>2602</v>
      </c>
      <c r="D512" s="1859" t="s">
        <v>2603</v>
      </c>
      <c r="E512" s="1859" t="s">
        <v>2604</v>
      </c>
      <c r="F512" s="1859" t="s">
        <v>2605</v>
      </c>
      <c r="G512" s="1859" t="s">
        <v>22</v>
      </c>
      <c r="H512" s="1859" t="s">
        <v>22</v>
      </c>
      <c r="I512" s="1859" t="s">
        <v>1009</v>
      </c>
    </row>
    <row customHeight="1" ht="11.25">
      <c r="A513" s="1859" t="s">
        <v>2335</v>
      </c>
      <c r="B513" s="1859" t="s">
        <v>16</v>
      </c>
      <c r="C513" s="1859" t="s">
        <v>2606</v>
      </c>
      <c r="D513" s="1859" t="s">
        <v>2607</v>
      </c>
      <c r="E513" s="1859" t="s">
        <v>2608</v>
      </c>
      <c r="F513" s="1859" t="s">
        <v>2586</v>
      </c>
      <c r="G513" s="1859" t="s">
        <v>22</v>
      </c>
      <c r="H513" s="1859" t="s">
        <v>22</v>
      </c>
      <c r="I513" s="1859" t="s">
        <v>1009</v>
      </c>
    </row>
    <row customHeight="1" ht="11.25">
      <c r="A514" s="1859" t="s">
        <v>2335</v>
      </c>
      <c r="B514" s="1859" t="s">
        <v>16</v>
      </c>
      <c r="C514" s="1859" t="s">
        <v>2609</v>
      </c>
      <c r="D514" s="1859" t="s">
        <v>2610</v>
      </c>
      <c r="E514" s="1859" t="s">
        <v>2611</v>
      </c>
      <c r="F514" s="1859" t="s">
        <v>2518</v>
      </c>
      <c r="G514" s="1859" t="s">
        <v>2612</v>
      </c>
      <c r="H514" s="1859" t="s">
        <v>2613</v>
      </c>
      <c r="I514" s="1859" t="s">
        <v>1009</v>
      </c>
    </row>
    <row customHeight="1" ht="11.25">
      <c r="A515" s="1859" t="s">
        <v>2335</v>
      </c>
      <c r="B515" s="1859" t="s">
        <v>16</v>
      </c>
      <c r="C515" s="1859" t="s">
        <v>2624</v>
      </c>
      <c r="D515" s="1859" t="s">
        <v>2625</v>
      </c>
      <c r="E515" s="1859" t="s">
        <v>2626</v>
      </c>
      <c r="F515" s="1859" t="s">
        <v>2395</v>
      </c>
      <c r="G515" s="1859" t="s">
        <v>22</v>
      </c>
      <c r="H515" s="1859" t="s">
        <v>22</v>
      </c>
      <c r="I515" s="1859" t="s">
        <v>1009</v>
      </c>
    </row>
    <row customHeight="1" ht="11.25">
      <c r="A516" s="1859" t="s">
        <v>2335</v>
      </c>
      <c r="B516" s="1859" t="s">
        <v>16</v>
      </c>
      <c r="C516" s="1859" t="s">
        <v>3177</v>
      </c>
      <c r="D516" s="1859" t="s">
        <v>3178</v>
      </c>
      <c r="E516" s="1859" t="s">
        <v>3179</v>
      </c>
      <c r="F516" s="1859" t="s">
        <v>2395</v>
      </c>
      <c r="G516" s="1859" t="s">
        <v>22</v>
      </c>
      <c r="H516" s="1859" t="s">
        <v>22</v>
      </c>
      <c r="I516" s="1859" t="s">
        <v>1009</v>
      </c>
    </row>
    <row customHeight="1" ht="11.25">
      <c r="A517" s="1859" t="s">
        <v>2335</v>
      </c>
      <c r="B517" s="1859" t="s">
        <v>16</v>
      </c>
      <c r="C517" s="1859" t="s">
        <v>3186</v>
      </c>
      <c r="D517" s="1859" t="s">
        <v>3187</v>
      </c>
      <c r="E517" s="1859" t="s">
        <v>3188</v>
      </c>
      <c r="F517" s="1859" t="s">
        <v>2395</v>
      </c>
      <c r="G517" s="1859" t="s">
        <v>22</v>
      </c>
      <c r="H517" s="1859" t="s">
        <v>22</v>
      </c>
      <c r="I517" s="1859" t="s">
        <v>1009</v>
      </c>
    </row>
    <row customHeight="1" ht="11.25">
      <c r="A518" s="1859" t="s">
        <v>2335</v>
      </c>
      <c r="B518" s="1859" t="s">
        <v>16</v>
      </c>
      <c r="C518" s="1859" t="s">
        <v>2627</v>
      </c>
      <c r="D518" s="1859" t="s">
        <v>2628</v>
      </c>
      <c r="E518" s="1859" t="s">
        <v>2629</v>
      </c>
      <c r="F518" s="1859" t="s">
        <v>2469</v>
      </c>
      <c r="G518" s="1859" t="s">
        <v>22</v>
      </c>
      <c r="H518" s="1859" t="s">
        <v>2630</v>
      </c>
      <c r="I518" s="1859" t="s">
        <v>1009</v>
      </c>
    </row>
    <row customHeight="1" ht="11.25">
      <c r="A519" s="1859" t="s">
        <v>2335</v>
      </c>
      <c r="B519" s="1859" t="s">
        <v>16</v>
      </c>
      <c r="C519" s="1859" t="s">
        <v>2631</v>
      </c>
      <c r="D519" s="1859" t="s">
        <v>2632</v>
      </c>
      <c r="E519" s="1859" t="s">
        <v>2633</v>
      </c>
      <c r="F519" s="1859" t="s">
        <v>2634</v>
      </c>
      <c r="G519" s="1859" t="s">
        <v>22</v>
      </c>
      <c r="H519" s="1859" t="s">
        <v>22</v>
      </c>
      <c r="I519" s="1859" t="s">
        <v>1009</v>
      </c>
    </row>
    <row customHeight="1" ht="11.25">
      <c r="A520" s="1859" t="s">
        <v>2335</v>
      </c>
      <c r="B520" s="1859" t="s">
        <v>16</v>
      </c>
      <c r="C520" s="1859" t="s">
        <v>3199</v>
      </c>
      <c r="D520" s="1859" t="s">
        <v>3200</v>
      </c>
      <c r="E520" s="1859" t="s">
        <v>3201</v>
      </c>
      <c r="F520" s="1859" t="s">
        <v>51</v>
      </c>
      <c r="G520" s="1859" t="s">
        <v>22</v>
      </c>
      <c r="H520" s="1859" t="s">
        <v>22</v>
      </c>
      <c r="I520" s="1859" t="s">
        <v>1009</v>
      </c>
    </row>
    <row customHeight="1" ht="11.25">
      <c r="A521" s="1859" t="s">
        <v>2335</v>
      </c>
      <c r="B521" s="1859" t="s">
        <v>16</v>
      </c>
      <c r="C521" s="1859" t="s">
        <v>3202</v>
      </c>
      <c r="D521" s="1859" t="s">
        <v>3203</v>
      </c>
      <c r="E521" s="1859" t="s">
        <v>3204</v>
      </c>
      <c r="F521" s="1859" t="s">
        <v>3205</v>
      </c>
      <c r="G521" s="1859" t="s">
        <v>22</v>
      </c>
      <c r="H521" s="1859" t="s">
        <v>22</v>
      </c>
      <c r="I521" s="1859" t="s">
        <v>1009</v>
      </c>
    </row>
    <row customHeight="1" ht="11.25">
      <c r="A522" s="1859" t="s">
        <v>2335</v>
      </c>
      <c r="B522" s="1859" t="s">
        <v>16</v>
      </c>
      <c r="C522" s="1859" t="s">
        <v>2635</v>
      </c>
      <c r="D522" s="1859" t="s">
        <v>2636</v>
      </c>
      <c r="E522" s="1859" t="s">
        <v>2637</v>
      </c>
      <c r="F522" s="1859" t="s">
        <v>2586</v>
      </c>
      <c r="G522" s="1859" t="s">
        <v>22</v>
      </c>
      <c r="H522" s="1859" t="s">
        <v>22</v>
      </c>
      <c r="I522" s="1859" t="s">
        <v>1009</v>
      </c>
    </row>
    <row customHeight="1" ht="11.25">
      <c r="A523" s="1859" t="s">
        <v>2335</v>
      </c>
      <c r="B523" s="1859" t="s">
        <v>16</v>
      </c>
      <c r="C523" s="1859" t="s">
        <v>3209</v>
      </c>
      <c r="D523" s="1859" t="s">
        <v>3210</v>
      </c>
      <c r="E523" s="1859" t="s">
        <v>3211</v>
      </c>
      <c r="F523" s="1859" t="s">
        <v>2395</v>
      </c>
      <c r="G523" s="1859" t="s">
        <v>3212</v>
      </c>
      <c r="H523" s="1859" t="s">
        <v>22</v>
      </c>
      <c r="I523" s="1859" t="s">
        <v>1009</v>
      </c>
    </row>
    <row customHeight="1" ht="11.25">
      <c r="A524" s="1859" t="s">
        <v>2335</v>
      </c>
      <c r="B524" s="1859" t="s">
        <v>16</v>
      </c>
      <c r="C524" s="1859" t="s">
        <v>2638</v>
      </c>
      <c r="D524" s="1859" t="s">
        <v>2639</v>
      </c>
      <c r="E524" s="1859" t="s">
        <v>2640</v>
      </c>
      <c r="F524" s="1859" t="s">
        <v>2641</v>
      </c>
      <c r="G524" s="1859" t="s">
        <v>22</v>
      </c>
      <c r="H524" s="1859" t="s">
        <v>22</v>
      </c>
      <c r="I524" s="1859" t="s">
        <v>1009</v>
      </c>
    </row>
    <row customHeight="1" ht="11.25">
      <c r="A525" s="1859" t="s">
        <v>2335</v>
      </c>
      <c r="B525" s="1859" t="s">
        <v>16</v>
      </c>
      <c r="C525" s="1859" t="s">
        <v>3365</v>
      </c>
      <c r="D525" s="1859" t="s">
        <v>3366</v>
      </c>
      <c r="E525" s="1859" t="s">
        <v>3367</v>
      </c>
      <c r="F525" s="1859" t="s">
        <v>2395</v>
      </c>
      <c r="G525" s="1859" t="s">
        <v>22</v>
      </c>
      <c r="H525" s="1859" t="s">
        <v>22</v>
      </c>
      <c r="I525" s="1859" t="s">
        <v>1009</v>
      </c>
    </row>
    <row customHeight="1" ht="11.25">
      <c r="A526" s="1859" t="s">
        <v>2335</v>
      </c>
      <c r="B526" s="1859" t="s">
        <v>16</v>
      </c>
      <c r="C526" s="1859" t="s">
        <v>2993</v>
      </c>
      <c r="D526" s="1859" t="s">
        <v>2994</v>
      </c>
      <c r="E526" s="1859" t="s">
        <v>2995</v>
      </c>
      <c r="F526" s="1859" t="s">
        <v>2518</v>
      </c>
      <c r="G526" s="1859" t="s">
        <v>22</v>
      </c>
      <c r="H526" s="1859" t="s">
        <v>22</v>
      </c>
      <c r="I526" s="1859" t="s">
        <v>1009</v>
      </c>
    </row>
    <row customHeight="1" ht="11.25">
      <c r="A527" s="1859" t="s">
        <v>2335</v>
      </c>
      <c r="B527" s="1859" t="s">
        <v>16</v>
      </c>
      <c r="C527" s="1859" t="s">
        <v>2642</v>
      </c>
      <c r="D527" s="1859" t="s">
        <v>2643</v>
      </c>
      <c r="E527" s="1859" t="s">
        <v>2644</v>
      </c>
      <c r="F527" s="1859" t="s">
        <v>2481</v>
      </c>
      <c r="G527" s="1859" t="s">
        <v>22</v>
      </c>
      <c r="H527" s="1859" t="s">
        <v>22</v>
      </c>
      <c r="I527" s="1859" t="s">
        <v>1009</v>
      </c>
    </row>
    <row customHeight="1" ht="11.25">
      <c r="A528" s="1859" t="s">
        <v>2335</v>
      </c>
      <c r="B528" s="1859" t="s">
        <v>16</v>
      </c>
      <c r="C528" s="1859" t="s">
        <v>3219</v>
      </c>
      <c r="D528" s="1859" t="s">
        <v>3220</v>
      </c>
      <c r="E528" s="1859" t="s">
        <v>3221</v>
      </c>
      <c r="F528" s="1859" t="s">
        <v>2395</v>
      </c>
      <c r="G528" s="1859" t="s">
        <v>22</v>
      </c>
      <c r="H528" s="1859" t="s">
        <v>22</v>
      </c>
      <c r="I528" s="1859" t="s">
        <v>1009</v>
      </c>
    </row>
    <row customHeight="1" ht="11.25">
      <c r="A529" s="1859" t="s">
        <v>2335</v>
      </c>
      <c r="B529" s="1859" t="s">
        <v>16</v>
      </c>
      <c r="C529" s="1859" t="s">
        <v>3222</v>
      </c>
      <c r="D529" s="1859" t="s">
        <v>3223</v>
      </c>
      <c r="E529" s="1859" t="s">
        <v>3224</v>
      </c>
      <c r="F529" s="1859" t="s">
        <v>2395</v>
      </c>
      <c r="G529" s="1859" t="s">
        <v>22</v>
      </c>
      <c r="H529" s="1859" t="s">
        <v>22</v>
      </c>
      <c r="I529" s="1859" t="s">
        <v>1009</v>
      </c>
    </row>
    <row customHeight="1" ht="11.25">
      <c r="A530" s="1859" t="s">
        <v>2335</v>
      </c>
      <c r="B530" s="1859" t="s">
        <v>16</v>
      </c>
      <c r="C530" s="1859" t="s">
        <v>3229</v>
      </c>
      <c r="D530" s="1859" t="s">
        <v>3230</v>
      </c>
      <c r="E530" s="1859" t="s">
        <v>3231</v>
      </c>
      <c r="F530" s="1859" t="s">
        <v>2395</v>
      </c>
      <c r="G530" s="1859" t="s">
        <v>22</v>
      </c>
      <c r="H530" s="1859" t="s">
        <v>22</v>
      </c>
      <c r="I530" s="1859" t="s">
        <v>1009</v>
      </c>
    </row>
    <row customHeight="1" ht="11.25">
      <c r="A531" s="1859" t="s">
        <v>2335</v>
      </c>
      <c r="B531" s="1859" t="s">
        <v>16</v>
      </c>
      <c r="C531" s="1859" t="s">
        <v>2662</v>
      </c>
      <c r="D531" s="1859" t="s">
        <v>2663</v>
      </c>
      <c r="E531" s="1859" t="s">
        <v>2664</v>
      </c>
      <c r="F531" s="1859" t="s">
        <v>2665</v>
      </c>
      <c r="G531" s="1859" t="s">
        <v>22</v>
      </c>
      <c r="H531" s="1859" t="s">
        <v>22</v>
      </c>
      <c r="I531" s="1859" t="s">
        <v>1009</v>
      </c>
    </row>
    <row customHeight="1" ht="11.25">
      <c r="A532" s="1859" t="s">
        <v>2335</v>
      </c>
      <c r="B532" s="1859" t="s">
        <v>16</v>
      </c>
      <c r="C532" s="1859" t="s">
        <v>3232</v>
      </c>
      <c r="D532" s="1859" t="s">
        <v>3233</v>
      </c>
      <c r="E532" s="1859" t="s">
        <v>3234</v>
      </c>
      <c r="F532" s="1859" t="s">
        <v>3235</v>
      </c>
      <c r="G532" s="1859" t="s">
        <v>22</v>
      </c>
      <c r="H532" s="1859" t="s">
        <v>22</v>
      </c>
      <c r="I532" s="1859" t="s">
        <v>1009</v>
      </c>
    </row>
    <row customHeight="1" ht="11.25">
      <c r="A533" s="1859" t="s">
        <v>2335</v>
      </c>
      <c r="B533" s="1859" t="s">
        <v>16</v>
      </c>
      <c r="C533" s="1859" t="s">
        <v>2666</v>
      </c>
      <c r="D533" s="1859" t="s">
        <v>2667</v>
      </c>
      <c r="E533" s="1859" t="s">
        <v>2668</v>
      </c>
      <c r="F533" s="1859" t="s">
        <v>2339</v>
      </c>
      <c r="G533" s="1859" t="s">
        <v>22</v>
      </c>
      <c r="H533" s="1859" t="s">
        <v>22</v>
      </c>
      <c r="I533" s="1859" t="s">
        <v>1009</v>
      </c>
    </row>
    <row customHeight="1" ht="11.25">
      <c r="A534" s="1859" t="s">
        <v>2335</v>
      </c>
      <c r="B534" s="1859" t="s">
        <v>16</v>
      </c>
      <c r="C534" s="1859" t="s">
        <v>3236</v>
      </c>
      <c r="D534" s="1859" t="s">
        <v>3237</v>
      </c>
      <c r="E534" s="1859" t="s">
        <v>3238</v>
      </c>
      <c r="F534" s="1859" t="s">
        <v>2560</v>
      </c>
      <c r="G534" s="1859" t="s">
        <v>22</v>
      </c>
      <c r="H534" s="1859" t="s">
        <v>22</v>
      </c>
      <c r="I534" s="1859" t="s">
        <v>1009</v>
      </c>
    </row>
    <row customHeight="1" ht="11.25">
      <c r="A535" s="1859" t="s">
        <v>2335</v>
      </c>
      <c r="B535" s="1859" t="s">
        <v>16</v>
      </c>
      <c r="C535" s="1859" t="s">
        <v>3245</v>
      </c>
      <c r="D535" s="1859" t="s">
        <v>3246</v>
      </c>
      <c r="E535" s="1859" t="s">
        <v>3247</v>
      </c>
      <c r="F535" s="1859" t="s">
        <v>2364</v>
      </c>
      <c r="G535" s="1859" t="s">
        <v>22</v>
      </c>
      <c r="H535" s="1859" t="s">
        <v>22</v>
      </c>
      <c r="I535" s="1859" t="s">
        <v>1009</v>
      </c>
    </row>
    <row customHeight="1" ht="11.25">
      <c r="A536" s="1859" t="s">
        <v>2335</v>
      </c>
      <c r="B536" s="1859" t="s">
        <v>16</v>
      </c>
      <c r="C536" s="1859" t="s">
        <v>3248</v>
      </c>
      <c r="D536" s="1859" t="s">
        <v>3249</v>
      </c>
      <c r="E536" s="1859" t="s">
        <v>3250</v>
      </c>
      <c r="F536" s="1859" t="s">
        <v>2429</v>
      </c>
      <c r="G536" s="1859" t="s">
        <v>3251</v>
      </c>
      <c r="H536" s="1859" t="s">
        <v>22</v>
      </c>
      <c r="I536" s="1859" t="s">
        <v>1009</v>
      </c>
    </row>
    <row customHeight="1" ht="11.25">
      <c r="A537" s="1859" t="s">
        <v>2335</v>
      </c>
      <c r="B537" s="1859" t="s">
        <v>16</v>
      </c>
      <c r="C537" s="1859" t="s">
        <v>3252</v>
      </c>
      <c r="D537" s="1859" t="s">
        <v>3253</v>
      </c>
      <c r="E537" s="1859" t="s">
        <v>3254</v>
      </c>
      <c r="F537" s="1859" t="s">
        <v>2395</v>
      </c>
      <c r="G537" s="1859" t="s">
        <v>22</v>
      </c>
      <c r="H537" s="1859" t="s">
        <v>22</v>
      </c>
      <c r="I537" s="1859" t="s">
        <v>1009</v>
      </c>
    </row>
    <row customHeight="1" ht="11.25">
      <c r="A538" s="1859" t="s">
        <v>2335</v>
      </c>
      <c r="B538" s="1859" t="s">
        <v>16</v>
      </c>
      <c r="C538" s="1859" t="s">
        <v>2675</v>
      </c>
      <c r="D538" s="1859" t="s">
        <v>2676</v>
      </c>
      <c r="E538" s="1859" t="s">
        <v>2677</v>
      </c>
      <c r="F538" s="1859" t="s">
        <v>2455</v>
      </c>
      <c r="G538" s="1859" t="s">
        <v>22</v>
      </c>
      <c r="H538" s="1859" t="s">
        <v>22</v>
      </c>
      <c r="I538" s="1859" t="s">
        <v>1009</v>
      </c>
    </row>
    <row customHeight="1" ht="11.25">
      <c r="A539" s="1859" t="s">
        <v>2335</v>
      </c>
      <c r="B539" s="1859" t="s">
        <v>16</v>
      </c>
      <c r="C539" s="1859" t="s">
        <v>3368</v>
      </c>
      <c r="D539" s="1859" t="s">
        <v>3369</v>
      </c>
      <c r="E539" s="1859" t="s">
        <v>3370</v>
      </c>
      <c r="F539" s="1859" t="s">
        <v>2469</v>
      </c>
      <c r="G539" s="1859" t="s">
        <v>22</v>
      </c>
      <c r="H539" s="1859" t="s">
        <v>22</v>
      </c>
      <c r="I539" s="1859" t="s">
        <v>1009</v>
      </c>
    </row>
    <row customHeight="1" ht="11.25">
      <c r="A540" s="1859" t="s">
        <v>2335</v>
      </c>
      <c r="B540" s="1859" t="s">
        <v>16</v>
      </c>
      <c r="C540" s="1859" t="s">
        <v>3263</v>
      </c>
      <c r="D540" s="1859" t="s">
        <v>3264</v>
      </c>
      <c r="E540" s="1859" t="s">
        <v>3265</v>
      </c>
      <c r="F540" s="1859" t="s">
        <v>2410</v>
      </c>
      <c r="G540" s="1859" t="s">
        <v>3266</v>
      </c>
      <c r="H540" s="1859" t="s">
        <v>22</v>
      </c>
      <c r="I540" s="1859" t="s">
        <v>1009</v>
      </c>
    </row>
    <row customHeight="1" ht="11.25">
      <c r="A541" s="1859" t="s">
        <v>2335</v>
      </c>
      <c r="B541" s="1859" t="s">
        <v>16</v>
      </c>
      <c r="C541" s="1859" t="s">
        <v>3267</v>
      </c>
      <c r="D541" s="1859" t="s">
        <v>3268</v>
      </c>
      <c r="E541" s="1859" t="s">
        <v>3269</v>
      </c>
      <c r="F541" s="1859" t="s">
        <v>2473</v>
      </c>
      <c r="G541" s="1859" t="s">
        <v>3270</v>
      </c>
      <c r="H541" s="1859" t="s">
        <v>22</v>
      </c>
      <c r="I541" s="1859" t="s">
        <v>1009</v>
      </c>
    </row>
    <row customHeight="1" ht="11.25">
      <c r="A542" s="1859" t="s">
        <v>2335</v>
      </c>
      <c r="B542" s="1859" t="s">
        <v>16</v>
      </c>
      <c r="C542" s="1859" t="s">
        <v>2702</v>
      </c>
      <c r="D542" s="1859" t="s">
        <v>2703</v>
      </c>
      <c r="E542" s="1859" t="s">
        <v>2704</v>
      </c>
      <c r="F542" s="1859" t="s">
        <v>2473</v>
      </c>
      <c r="G542" s="1859" t="s">
        <v>22</v>
      </c>
      <c r="H542" s="1859" t="s">
        <v>22</v>
      </c>
      <c r="I542" s="1859" t="s">
        <v>1009</v>
      </c>
    </row>
    <row customHeight="1" ht="11.25">
      <c r="A543" s="1859" t="s">
        <v>2335</v>
      </c>
      <c r="B543" s="1859" t="s">
        <v>16</v>
      </c>
      <c r="C543" s="1859" t="s">
        <v>3281</v>
      </c>
      <c r="D543" s="1859" t="s">
        <v>3282</v>
      </c>
      <c r="E543" s="1859" t="s">
        <v>3283</v>
      </c>
      <c r="F543" s="1859" t="s">
        <v>2605</v>
      </c>
      <c r="G543" s="1859" t="s">
        <v>3284</v>
      </c>
      <c r="H543" s="1859" t="s">
        <v>22</v>
      </c>
      <c r="I543" s="1859" t="s">
        <v>1009</v>
      </c>
    </row>
    <row customHeight="1" ht="11.25">
      <c r="A544" s="1859" t="s">
        <v>2335</v>
      </c>
      <c r="B544" s="1859" t="s">
        <v>16</v>
      </c>
      <c r="C544" s="1859" t="s">
        <v>2734</v>
      </c>
      <c r="D544" s="1859" t="s">
        <v>2735</v>
      </c>
      <c r="E544" s="1859" t="s">
        <v>2736</v>
      </c>
      <c r="F544" s="1859" t="s">
        <v>2473</v>
      </c>
      <c r="G544" s="1859" t="s">
        <v>22</v>
      </c>
      <c r="H544" s="1859" t="s">
        <v>22</v>
      </c>
      <c r="I544" s="1859" t="s">
        <v>1009</v>
      </c>
    </row>
    <row customHeight="1" ht="11.25">
      <c r="A545" s="1859" t="s">
        <v>2335</v>
      </c>
      <c r="B545" s="1859" t="s">
        <v>16</v>
      </c>
      <c r="C545" s="1859" t="s">
        <v>2752</v>
      </c>
      <c r="D545" s="1859" t="s">
        <v>2753</v>
      </c>
      <c r="E545" s="1859" t="s">
        <v>2754</v>
      </c>
      <c r="F545" s="1859" t="s">
        <v>2402</v>
      </c>
      <c r="G545" s="1859" t="s">
        <v>22</v>
      </c>
      <c r="H545" s="1859" t="s">
        <v>22</v>
      </c>
      <c r="I545" s="1859" t="s">
        <v>1009</v>
      </c>
    </row>
    <row customHeight="1" ht="11.25">
      <c r="A546" s="1859" t="s">
        <v>2335</v>
      </c>
      <c r="B546" s="1859" t="s">
        <v>16</v>
      </c>
      <c r="C546" s="1859" t="s">
        <v>2755</v>
      </c>
      <c r="D546" s="1859" t="s">
        <v>2756</v>
      </c>
      <c r="E546" s="1859" t="s">
        <v>2757</v>
      </c>
      <c r="F546" s="1859" t="s">
        <v>2402</v>
      </c>
      <c r="G546" s="1859" t="s">
        <v>2758</v>
      </c>
      <c r="H546" s="1859" t="s">
        <v>22</v>
      </c>
      <c r="I546" s="1859" t="s">
        <v>1009</v>
      </c>
    </row>
    <row customHeight="1" ht="11.25">
      <c r="A547" s="1859" t="s">
        <v>2335</v>
      </c>
      <c r="B547" s="1859" t="s">
        <v>16</v>
      </c>
      <c r="C547" s="1859" t="s">
        <v>3298</v>
      </c>
      <c r="D547" s="1859" t="s">
        <v>3299</v>
      </c>
      <c r="E547" s="1859" t="s">
        <v>3300</v>
      </c>
      <c r="F547" s="1859" t="s">
        <v>2455</v>
      </c>
      <c r="G547" s="1859" t="s">
        <v>22</v>
      </c>
      <c r="H547" s="1859" t="s">
        <v>22</v>
      </c>
      <c r="I547" s="1859" t="s">
        <v>1009</v>
      </c>
    </row>
    <row customHeight="1" ht="11.25">
      <c r="A548" s="1859" t="s">
        <v>2335</v>
      </c>
      <c r="B548" s="1859" t="s">
        <v>16</v>
      </c>
      <c r="C548" s="1859" t="s">
        <v>2762</v>
      </c>
      <c r="D548" s="1859" t="s">
        <v>2763</v>
      </c>
      <c r="E548" s="1859" t="s">
        <v>2764</v>
      </c>
      <c r="F548" s="1859" t="s">
        <v>2513</v>
      </c>
      <c r="G548" s="1859" t="s">
        <v>2765</v>
      </c>
      <c r="H548" s="1859" t="s">
        <v>22</v>
      </c>
      <c r="I548" s="1859" t="s">
        <v>1009</v>
      </c>
    </row>
    <row customHeight="1" ht="11.25">
      <c r="A549" s="1859" t="s">
        <v>2335</v>
      </c>
      <c r="B549" s="1859" t="s">
        <v>16</v>
      </c>
      <c r="C549" s="1859" t="s">
        <v>3371</v>
      </c>
      <c r="D549" s="1859" t="s">
        <v>3372</v>
      </c>
      <c r="E549" s="1859" t="s">
        <v>3373</v>
      </c>
      <c r="F549" s="1859" t="s">
        <v>2372</v>
      </c>
      <c r="G549" s="1859" t="s">
        <v>22</v>
      </c>
      <c r="H549" s="1859" t="s">
        <v>22</v>
      </c>
      <c r="I549" s="1859" t="s">
        <v>1009</v>
      </c>
    </row>
    <row customHeight="1" ht="11.25">
      <c r="A550" s="1859" t="s">
        <v>2335</v>
      </c>
      <c r="B550" s="1859" t="s">
        <v>16</v>
      </c>
      <c r="C550" s="1859" t="s">
        <v>3304</v>
      </c>
      <c r="D550" s="1859" t="s">
        <v>3305</v>
      </c>
      <c r="E550" s="1859" t="s">
        <v>3306</v>
      </c>
      <c r="F550" s="1859" t="s">
        <v>2518</v>
      </c>
      <c r="G550" s="1859" t="s">
        <v>22</v>
      </c>
      <c r="H550" s="1859" t="s">
        <v>22</v>
      </c>
      <c r="I550" s="1859" t="s">
        <v>1009</v>
      </c>
    </row>
    <row customHeight="1" ht="11.25">
      <c r="A551" s="1859" t="s">
        <v>2335</v>
      </c>
      <c r="B551" s="1859" t="s">
        <v>16</v>
      </c>
      <c r="C551" s="1859" t="s">
        <v>2787</v>
      </c>
      <c r="D551" s="1859" t="s">
        <v>2788</v>
      </c>
      <c r="E551" s="1859" t="s">
        <v>2789</v>
      </c>
      <c r="F551" s="1859" t="s">
        <v>2473</v>
      </c>
      <c r="G551" s="1859" t="s">
        <v>2790</v>
      </c>
      <c r="H551" s="1859" t="s">
        <v>22</v>
      </c>
      <c r="I551" s="1859" t="s">
        <v>1009</v>
      </c>
    </row>
    <row customHeight="1" ht="11.25">
      <c r="A552" s="1859" t="s">
        <v>2335</v>
      </c>
      <c r="B552" s="1859" t="s">
        <v>16</v>
      </c>
      <c r="C552" s="1859" t="s">
        <v>3374</v>
      </c>
      <c r="D552" s="1859" t="s">
        <v>3375</v>
      </c>
      <c r="E552" s="1859" t="s">
        <v>3376</v>
      </c>
      <c r="F552" s="1859" t="s">
        <v>2560</v>
      </c>
      <c r="G552" s="1859" t="s">
        <v>22</v>
      </c>
      <c r="H552" s="1859" t="s">
        <v>22</v>
      </c>
      <c r="I552" s="1859" t="s">
        <v>1009</v>
      </c>
    </row>
    <row customHeight="1" ht="11.25">
      <c r="A553" s="1859" t="s">
        <v>2335</v>
      </c>
      <c r="B553" s="1859" t="s">
        <v>16</v>
      </c>
      <c r="C553" s="1859" t="s">
        <v>2791</v>
      </c>
      <c r="D553" s="1859" t="s">
        <v>2792</v>
      </c>
      <c r="E553" s="1859" t="s">
        <v>2793</v>
      </c>
      <c r="F553" s="1859" t="s">
        <v>2518</v>
      </c>
      <c r="G553" s="1859" t="s">
        <v>22</v>
      </c>
      <c r="H553" s="1859" t="s">
        <v>22</v>
      </c>
      <c r="I553" s="1859" t="s">
        <v>1009</v>
      </c>
    </row>
    <row customHeight="1" ht="11.25">
      <c r="A554" s="1859" t="s">
        <v>2335</v>
      </c>
      <c r="B554" s="1859" t="s">
        <v>16</v>
      </c>
      <c r="C554" s="1859" t="s">
        <v>2794</v>
      </c>
      <c r="D554" s="1859" t="s">
        <v>2795</v>
      </c>
      <c r="E554" s="1859" t="s">
        <v>2796</v>
      </c>
      <c r="F554" s="1859" t="s">
        <v>2469</v>
      </c>
      <c r="G554" s="1859" t="s">
        <v>2797</v>
      </c>
      <c r="H554" s="1859" t="s">
        <v>22</v>
      </c>
      <c r="I554" s="1859" t="s">
        <v>1009</v>
      </c>
    </row>
    <row customHeight="1" ht="11.25">
      <c r="A555" s="1859" t="s">
        <v>2335</v>
      </c>
      <c r="B555" s="1859" t="s">
        <v>16</v>
      </c>
      <c r="C555" s="1859" t="s">
        <v>3310</v>
      </c>
      <c r="D555" s="1859" t="s">
        <v>3311</v>
      </c>
      <c r="E555" s="1859" t="s">
        <v>3312</v>
      </c>
      <c r="F555" s="1859" t="s">
        <v>2465</v>
      </c>
      <c r="G555" s="1859" t="s">
        <v>22</v>
      </c>
      <c r="H555" s="1859" t="s">
        <v>22</v>
      </c>
      <c r="I555" s="1859" t="s">
        <v>1009</v>
      </c>
    </row>
    <row customHeight="1" ht="11.25">
      <c r="A556" s="1859" t="s">
        <v>2335</v>
      </c>
      <c r="B556" s="1859" t="s">
        <v>16</v>
      </c>
      <c r="C556" s="1859" t="s">
        <v>2811</v>
      </c>
      <c r="D556" s="1859" t="s">
        <v>2812</v>
      </c>
      <c r="E556" s="1859" t="s">
        <v>2813</v>
      </c>
      <c r="F556" s="1859" t="s">
        <v>2349</v>
      </c>
      <c r="G556" s="1859" t="s">
        <v>22</v>
      </c>
      <c r="H556" s="1859" t="s">
        <v>22</v>
      </c>
      <c r="I556" s="1859" t="s">
        <v>1009</v>
      </c>
    </row>
    <row customHeight="1" ht="11.25">
      <c r="A557" s="1859" t="s">
        <v>2335</v>
      </c>
      <c r="B557" s="1859" t="s">
        <v>16</v>
      </c>
      <c r="C557" s="1859" t="s">
        <v>3377</v>
      </c>
      <c r="D557" s="1859" t="s">
        <v>2812</v>
      </c>
      <c r="E557" s="1859" t="s">
        <v>3378</v>
      </c>
      <c r="F557" s="1859" t="s">
        <v>2586</v>
      </c>
      <c r="G557" s="1859" t="s">
        <v>3379</v>
      </c>
      <c r="H557" s="1859" t="s">
        <v>22</v>
      </c>
      <c r="I557" s="1859" t="s">
        <v>1009</v>
      </c>
    </row>
    <row customHeight="1" ht="11.25">
      <c r="A558" s="1859" t="s">
        <v>2335</v>
      </c>
      <c r="B558" s="1859" t="s">
        <v>16</v>
      </c>
      <c r="C558" s="1859" t="s">
        <v>2814</v>
      </c>
      <c r="D558" s="1859" t="s">
        <v>2815</v>
      </c>
      <c r="E558" s="1859" t="s">
        <v>2816</v>
      </c>
      <c r="F558" s="1859" t="s">
        <v>2658</v>
      </c>
      <c r="G558" s="1859" t="s">
        <v>22</v>
      </c>
      <c r="H558" s="1859" t="s">
        <v>22</v>
      </c>
      <c r="I558" s="1859" t="s">
        <v>1009</v>
      </c>
    </row>
    <row customHeight="1" ht="11.25">
      <c r="A559" s="1859" t="s">
        <v>2335</v>
      </c>
      <c r="B559" s="1859" t="s">
        <v>16</v>
      </c>
      <c r="C559" s="1859" t="s">
        <v>3319</v>
      </c>
      <c r="D559" s="1859" t="s">
        <v>3320</v>
      </c>
      <c r="E559" s="1859" t="s">
        <v>3321</v>
      </c>
      <c r="F559" s="1859" t="s">
        <v>2473</v>
      </c>
      <c r="G559" s="1859" t="s">
        <v>2529</v>
      </c>
      <c r="H559" s="1859" t="s">
        <v>22</v>
      </c>
      <c r="I559" s="1859" t="s">
        <v>1009</v>
      </c>
    </row>
    <row customHeight="1" ht="11.25">
      <c r="A560" s="1859" t="s">
        <v>2335</v>
      </c>
      <c r="B560" s="1859" t="s">
        <v>16</v>
      </c>
      <c r="C560" s="1859" t="s">
        <v>2829</v>
      </c>
      <c r="D560" s="1859" t="s">
        <v>2830</v>
      </c>
      <c r="E560" s="1859" t="s">
        <v>2831</v>
      </c>
      <c r="F560" s="1859" t="s">
        <v>2832</v>
      </c>
      <c r="G560" s="1859" t="s">
        <v>22</v>
      </c>
      <c r="H560" s="1859" t="s">
        <v>22</v>
      </c>
      <c r="I560" s="1859" t="s">
        <v>1009</v>
      </c>
    </row>
    <row customHeight="1" ht="11.25">
      <c r="A561" s="1859" t="s">
        <v>2335</v>
      </c>
      <c r="B561" s="1859" t="s">
        <v>16</v>
      </c>
      <c r="C561" s="1859" t="s">
        <v>2842</v>
      </c>
      <c r="D561" s="1859" t="s">
        <v>2843</v>
      </c>
      <c r="E561" s="1859" t="s">
        <v>2844</v>
      </c>
      <c r="F561" s="1859" t="s">
        <v>2455</v>
      </c>
      <c r="G561" s="1859" t="s">
        <v>22</v>
      </c>
      <c r="H561" s="1859" t="s">
        <v>22</v>
      </c>
      <c r="I561" s="1859" t="s">
        <v>1009</v>
      </c>
    </row>
    <row customHeight="1" ht="11.25">
      <c r="A562" s="1859" t="s">
        <v>2335</v>
      </c>
      <c r="B562" s="1859" t="s">
        <v>16</v>
      </c>
      <c r="C562" s="1859" t="s">
        <v>2848</v>
      </c>
      <c r="D562" s="1859" t="s">
        <v>2849</v>
      </c>
      <c r="E562" s="1859" t="s">
        <v>2850</v>
      </c>
      <c r="F562" s="1859" t="s">
        <v>2372</v>
      </c>
      <c r="G562" s="1859" t="s">
        <v>22</v>
      </c>
      <c r="H562" s="1859" t="s">
        <v>22</v>
      </c>
      <c r="I562" s="1859" t="s">
        <v>1009</v>
      </c>
    </row>
    <row customHeight="1" ht="11.25">
      <c r="A563" s="1859" t="s">
        <v>2335</v>
      </c>
      <c r="B563" s="1859" t="s">
        <v>16</v>
      </c>
      <c r="C563" s="1859" t="s">
        <v>3322</v>
      </c>
      <c r="D563" s="1859" t="s">
        <v>3323</v>
      </c>
      <c r="E563" s="1859" t="s">
        <v>3324</v>
      </c>
      <c r="F563" s="1859" t="s">
        <v>2605</v>
      </c>
      <c r="G563" s="1859" t="s">
        <v>2529</v>
      </c>
      <c r="H563" s="1859" t="s">
        <v>22</v>
      </c>
      <c r="I563" s="1859" t="s">
        <v>1009</v>
      </c>
    </row>
    <row customHeight="1" ht="11.25">
      <c r="A564" s="1859" t="s">
        <v>2335</v>
      </c>
      <c r="B564" s="1859" t="s">
        <v>16</v>
      </c>
      <c r="C564" s="1859" t="s">
        <v>2866</v>
      </c>
      <c r="D564" s="1859" t="s">
        <v>2867</v>
      </c>
      <c r="E564" s="1859" t="s">
        <v>2868</v>
      </c>
      <c r="F564" s="1859" t="s">
        <v>2469</v>
      </c>
      <c r="G564" s="1859" t="s">
        <v>22</v>
      </c>
      <c r="H564" s="1859" t="s">
        <v>22</v>
      </c>
      <c r="I564" s="1859" t="s">
        <v>1009</v>
      </c>
    </row>
    <row customHeight="1" ht="11.25">
      <c r="A565" s="1859" t="s">
        <v>2335</v>
      </c>
      <c r="B565" s="1859" t="s">
        <v>16</v>
      </c>
      <c r="C565" s="1859" t="s">
        <v>3328</v>
      </c>
      <c r="D565" s="1859" t="s">
        <v>3329</v>
      </c>
      <c r="E565" s="1859" t="s">
        <v>3330</v>
      </c>
      <c r="F565" s="1859" t="s">
        <v>2402</v>
      </c>
      <c r="G565" s="1859" t="s">
        <v>22</v>
      </c>
      <c r="H565" s="1859" t="s">
        <v>22</v>
      </c>
      <c r="I565" s="1859" t="s">
        <v>1009</v>
      </c>
    </row>
    <row customHeight="1" ht="11.25">
      <c r="A566" s="1859" t="s">
        <v>2335</v>
      </c>
      <c r="B566" s="1859" t="s">
        <v>16</v>
      </c>
      <c r="C566" s="1859" t="s">
        <v>2896</v>
      </c>
      <c r="D566" s="1859" t="s">
        <v>2897</v>
      </c>
      <c r="E566" s="1859" t="s">
        <v>2898</v>
      </c>
      <c r="F566" s="1859" t="s">
        <v>2518</v>
      </c>
      <c r="G566" s="1859" t="s">
        <v>22</v>
      </c>
      <c r="H566" s="1859" t="s">
        <v>22</v>
      </c>
      <c r="I566" s="1859" t="s">
        <v>1009</v>
      </c>
    </row>
    <row customHeight="1" ht="11.25">
      <c r="A567" s="1859" t="s">
        <v>2335</v>
      </c>
      <c r="B567" s="1859" t="s">
        <v>16</v>
      </c>
      <c r="C567" s="1859" t="s">
        <v>2902</v>
      </c>
      <c r="D567" s="1859" t="s">
        <v>2903</v>
      </c>
      <c r="E567" s="1859" t="s">
        <v>2904</v>
      </c>
      <c r="F567" s="1859" t="s">
        <v>2473</v>
      </c>
      <c r="G567" s="1859" t="s">
        <v>22</v>
      </c>
      <c r="H567" s="1859" t="s">
        <v>22</v>
      </c>
      <c r="I567" s="1859" t="s">
        <v>1009</v>
      </c>
    </row>
    <row customHeight="1" ht="11.25">
      <c r="A568" s="1859" t="s">
        <v>2335</v>
      </c>
      <c r="B568" s="1859" t="s">
        <v>16</v>
      </c>
      <c r="C568" s="1859" t="s">
        <v>2912</v>
      </c>
      <c r="D568" s="1859" t="s">
        <v>2913</v>
      </c>
      <c r="E568" s="1859" t="s">
        <v>2914</v>
      </c>
      <c r="F568" s="1859" t="s">
        <v>2469</v>
      </c>
      <c r="G568" s="1859" t="s">
        <v>2915</v>
      </c>
      <c r="H568" s="1859" t="s">
        <v>22</v>
      </c>
      <c r="I568" s="1859" t="s">
        <v>1009</v>
      </c>
    </row>
    <row customHeight="1" ht="11.25">
      <c r="A569" s="1859" t="s">
        <v>2335</v>
      </c>
      <c r="B569" s="1859" t="s">
        <v>16</v>
      </c>
      <c r="C569" s="1859" t="s">
        <v>3333</v>
      </c>
      <c r="D569" s="1859" t="s">
        <v>3334</v>
      </c>
      <c r="E569" s="1859" t="s">
        <v>3335</v>
      </c>
      <c r="F569" s="1859" t="s">
        <v>2473</v>
      </c>
      <c r="G569" s="1859" t="s">
        <v>3336</v>
      </c>
      <c r="H569" s="1859" t="s">
        <v>22</v>
      </c>
      <c r="I569" s="1859" t="s">
        <v>1009</v>
      </c>
    </row>
    <row customHeight="1" ht="11.25">
      <c r="A570" s="1859" t="s">
        <v>2335</v>
      </c>
      <c r="B570" s="1859" t="s">
        <v>16</v>
      </c>
      <c r="C570" s="1859" t="s">
        <v>2924</v>
      </c>
      <c r="D570" s="1859" t="s">
        <v>2925</v>
      </c>
      <c r="E570" s="1859" t="s">
        <v>2926</v>
      </c>
      <c r="F570" s="1859" t="s">
        <v>2658</v>
      </c>
      <c r="G570" s="1859" t="s">
        <v>22</v>
      </c>
      <c r="H570" s="1859" t="s">
        <v>22</v>
      </c>
      <c r="I570" s="1859" t="s">
        <v>1009</v>
      </c>
    </row>
    <row customHeight="1" ht="11.25">
      <c r="A571" s="1859" t="s">
        <v>2335</v>
      </c>
      <c r="B571" s="1859" t="s">
        <v>16</v>
      </c>
      <c r="C571" s="1859" t="s">
        <v>2927</v>
      </c>
      <c r="D571" s="1859" t="s">
        <v>2928</v>
      </c>
      <c r="E571" s="1859" t="s">
        <v>2929</v>
      </c>
      <c r="F571" s="1859" t="s">
        <v>2658</v>
      </c>
      <c r="G571" s="1859" t="s">
        <v>22</v>
      </c>
      <c r="H571" s="1859" t="s">
        <v>22</v>
      </c>
      <c r="I571" s="1859" t="s">
        <v>1009</v>
      </c>
    </row>
    <row customHeight="1" ht="11.25">
      <c r="A572" s="1859" t="s">
        <v>2335</v>
      </c>
      <c r="B572" s="1859" t="s">
        <v>16</v>
      </c>
      <c r="C572" s="1859" t="s">
        <v>3340</v>
      </c>
      <c r="D572" s="1859" t="s">
        <v>3341</v>
      </c>
      <c r="E572" s="1859" t="s">
        <v>3342</v>
      </c>
      <c r="F572" s="1859" t="s">
        <v>2455</v>
      </c>
      <c r="G572" s="1859" t="s">
        <v>22</v>
      </c>
      <c r="H572" s="1859" t="s">
        <v>22</v>
      </c>
      <c r="I572" s="1859" t="s">
        <v>1009</v>
      </c>
    </row>
    <row customHeight="1" ht="11.25">
      <c r="A573" s="1859" t="s">
        <v>2335</v>
      </c>
      <c r="B573" s="1859" t="s">
        <v>16</v>
      </c>
      <c r="C573" s="1859" t="s">
        <v>2933</v>
      </c>
      <c r="D573" s="1859" t="s">
        <v>2934</v>
      </c>
      <c r="E573" s="1859" t="s">
        <v>2935</v>
      </c>
      <c r="F573" s="1859" t="s">
        <v>2641</v>
      </c>
      <c r="G573" s="1859" t="s">
        <v>22</v>
      </c>
      <c r="H573" s="1859" t="s">
        <v>22</v>
      </c>
      <c r="I573" s="1859" t="s">
        <v>1009</v>
      </c>
    </row>
    <row customHeight="1" ht="11.25">
      <c r="A574" s="1859" t="s">
        <v>2335</v>
      </c>
      <c r="B574" s="1859" t="s">
        <v>16</v>
      </c>
      <c r="C574" s="1859" t="s">
        <v>2936</v>
      </c>
      <c r="D574" s="1859" t="s">
        <v>2937</v>
      </c>
      <c r="E574" s="1859" t="s">
        <v>2938</v>
      </c>
      <c r="F574" s="1859" t="s">
        <v>2513</v>
      </c>
      <c r="G574" s="1859" t="s">
        <v>22</v>
      </c>
      <c r="H574" s="1859" t="s">
        <v>22</v>
      </c>
      <c r="I574" s="1859" t="s">
        <v>1009</v>
      </c>
    </row>
    <row customHeight="1" ht="11.25">
      <c r="A575" s="1859" t="s">
        <v>2335</v>
      </c>
      <c r="B575" s="1859" t="s">
        <v>16</v>
      </c>
      <c r="C575" s="1859" t="s">
        <v>3380</v>
      </c>
      <c r="D575" s="1859" t="s">
        <v>3381</v>
      </c>
      <c r="E575" s="1859" t="s">
        <v>2998</v>
      </c>
      <c r="F575" s="1859" t="s">
        <v>3382</v>
      </c>
      <c r="G575" s="1859" t="s">
        <v>22</v>
      </c>
      <c r="H575" s="1859" t="s">
        <v>2999</v>
      </c>
      <c r="I575" s="1859" t="s">
        <v>1009</v>
      </c>
    </row>
    <row customHeight="1" ht="11.25">
      <c r="A576" s="1859" t="s">
        <v>2335</v>
      </c>
      <c r="B576" s="1859" t="s">
        <v>16</v>
      </c>
      <c r="C576" s="1859" t="s">
        <v>2985</v>
      </c>
      <c r="D576" s="1859" t="s">
        <v>2986</v>
      </c>
      <c r="E576" s="1859" t="s">
        <v>2987</v>
      </c>
      <c r="F576" s="1859" t="s">
        <v>2988</v>
      </c>
      <c r="G576" s="1859" t="s">
        <v>22</v>
      </c>
      <c r="H576" s="1859" t="s">
        <v>22</v>
      </c>
      <c r="I576" s="1859" t="s">
        <v>1009</v>
      </c>
    </row>
    <row customHeight="1" ht="11.25">
      <c r="A577" s="1859" t="s">
        <v>2335</v>
      </c>
      <c r="B577" s="1859" t="s">
        <v>16</v>
      </c>
      <c r="C577" s="1859" t="s">
        <v>2989</v>
      </c>
      <c r="D577" s="1859" t="s">
        <v>2990</v>
      </c>
      <c r="E577" s="1859" t="s">
        <v>2991</v>
      </c>
      <c r="F577" s="1859" t="s">
        <v>2992</v>
      </c>
      <c r="G577" s="1859" t="s">
        <v>22</v>
      </c>
      <c r="H577" s="1859" t="s">
        <v>22</v>
      </c>
      <c r="I577" s="1859" t="s">
        <v>1009</v>
      </c>
    </row>
    <row customHeight="1" ht="11.25">
      <c r="A578" s="1859" t="s">
        <v>2335</v>
      </c>
      <c r="B578" s="1859" t="s">
        <v>16</v>
      </c>
      <c r="C578" s="1859" t="s">
        <v>3383</v>
      </c>
      <c r="D578" s="1859" t="s">
        <v>3384</v>
      </c>
      <c r="E578" s="1859" t="s">
        <v>3385</v>
      </c>
      <c r="F578" s="1859" t="s">
        <v>2665</v>
      </c>
      <c r="G578" s="1859" t="s">
        <v>22</v>
      </c>
      <c r="H578" s="1859" t="s">
        <v>22</v>
      </c>
      <c r="I578" s="1859" t="s">
        <v>1707</v>
      </c>
    </row>
    <row customHeight="1" ht="11.25">
      <c r="A579" s="1859" t="s">
        <v>2335</v>
      </c>
      <c r="B579" s="1859" t="s">
        <v>16</v>
      </c>
      <c r="C579" s="1859" t="s">
        <v>3386</v>
      </c>
      <c r="D579" s="1859" t="s">
        <v>3387</v>
      </c>
      <c r="E579" s="1859" t="s">
        <v>3388</v>
      </c>
      <c r="F579" s="1859" t="s">
        <v>2414</v>
      </c>
      <c r="G579" s="1859" t="s">
        <v>3389</v>
      </c>
      <c r="H579" s="1859" t="s">
        <v>22</v>
      </c>
      <c r="I579" s="1859" t="s">
        <v>1707</v>
      </c>
    </row>
    <row customHeight="1" ht="11.25">
      <c r="A580" s="1859" t="s">
        <v>2335</v>
      </c>
      <c r="B580" s="1859" t="s">
        <v>16</v>
      </c>
      <c r="C580" s="1859" t="s">
        <v>3390</v>
      </c>
      <c r="D580" s="1859" t="s">
        <v>3391</v>
      </c>
      <c r="E580" s="1859" t="s">
        <v>3392</v>
      </c>
      <c r="F580" s="1859" t="s">
        <v>2395</v>
      </c>
      <c r="G580" s="1859" t="s">
        <v>3393</v>
      </c>
      <c r="H580" s="1859" t="s">
        <v>22</v>
      </c>
      <c r="I580" s="1859" t="s">
        <v>1707</v>
      </c>
    </row>
    <row customHeight="1" ht="11.25">
      <c r="A581" s="1859" t="s">
        <v>2335</v>
      </c>
      <c r="B581" s="1859" t="s">
        <v>16</v>
      </c>
      <c r="C581" s="1859" t="s">
        <v>3394</v>
      </c>
      <c r="D581" s="1859" t="s">
        <v>3395</v>
      </c>
      <c r="E581" s="1859" t="s">
        <v>3396</v>
      </c>
      <c r="F581" s="1859" t="s">
        <v>2395</v>
      </c>
      <c r="G581" s="1859" t="s">
        <v>22</v>
      </c>
      <c r="H581" s="1859" t="s">
        <v>22</v>
      </c>
      <c r="I581" s="1859" t="s">
        <v>1707</v>
      </c>
    </row>
    <row customHeight="1" ht="11.25">
      <c r="A582" s="1859" t="s">
        <v>2335</v>
      </c>
      <c r="B582" s="1859" t="s">
        <v>16</v>
      </c>
      <c r="C582" s="1859" t="s">
        <v>3397</v>
      </c>
      <c r="D582" s="1859" t="s">
        <v>3398</v>
      </c>
      <c r="E582" s="1859" t="s">
        <v>3399</v>
      </c>
      <c r="F582" s="1859" t="s">
        <v>2349</v>
      </c>
      <c r="G582" s="1859" t="s">
        <v>22</v>
      </c>
      <c r="H582" s="1859" t="s">
        <v>22</v>
      </c>
      <c r="I582" s="1859" t="s">
        <v>1707</v>
      </c>
    </row>
    <row customHeight="1" ht="11.25">
      <c r="A583" s="1859" t="s">
        <v>2335</v>
      </c>
      <c r="B583" s="1859" t="s">
        <v>16</v>
      </c>
      <c r="C583" s="1859" t="s">
        <v>3400</v>
      </c>
      <c r="D583" s="1859" t="s">
        <v>3401</v>
      </c>
      <c r="E583" s="1859" t="s">
        <v>3402</v>
      </c>
      <c r="F583" s="1859" t="s">
        <v>2518</v>
      </c>
      <c r="G583" s="1859" t="s">
        <v>22</v>
      </c>
      <c r="H583" s="1859" t="s">
        <v>22</v>
      </c>
      <c r="I583" s="1859" t="s">
        <v>1707</v>
      </c>
    </row>
    <row customHeight="1" ht="11.25">
      <c r="A584" s="1859" t="s">
        <v>2335</v>
      </c>
      <c r="B584" s="1859" t="s">
        <v>16</v>
      </c>
      <c r="C584" s="1859" t="s">
        <v>3403</v>
      </c>
      <c r="D584" s="1859" t="s">
        <v>3404</v>
      </c>
      <c r="E584" s="1859" t="s">
        <v>3405</v>
      </c>
      <c r="F584" s="1859" t="s">
        <v>2406</v>
      </c>
      <c r="G584" s="1859" t="s">
        <v>2712</v>
      </c>
      <c r="H584" s="1859" t="s">
        <v>22</v>
      </c>
      <c r="I584" s="1859" t="s">
        <v>1707</v>
      </c>
    </row>
    <row customHeight="1" ht="11.25">
      <c r="A585" s="1859" t="s">
        <v>2335</v>
      </c>
      <c r="B585" s="1859" t="s">
        <v>16</v>
      </c>
      <c r="C585" s="1859" t="s">
        <v>3406</v>
      </c>
      <c r="D585" s="1859" t="s">
        <v>3407</v>
      </c>
      <c r="E585" s="1859" t="s">
        <v>3408</v>
      </c>
      <c r="F585" s="1859" t="s">
        <v>2414</v>
      </c>
      <c r="G585" s="1859" t="s">
        <v>3409</v>
      </c>
      <c r="H585" s="1859" t="s">
        <v>22</v>
      </c>
      <c r="I585" s="1859" t="s">
        <v>1707</v>
      </c>
    </row>
    <row customHeight="1" ht="11.25">
      <c r="A586" s="1859" t="s">
        <v>2335</v>
      </c>
      <c r="B586" s="1859" t="s">
        <v>16</v>
      </c>
      <c r="C586" s="1859" t="s">
        <v>3410</v>
      </c>
      <c r="D586" s="1859" t="s">
        <v>3411</v>
      </c>
      <c r="E586" s="1859" t="s">
        <v>3412</v>
      </c>
      <c r="F586" s="1859" t="s">
        <v>2455</v>
      </c>
      <c r="G586" s="1859" t="s">
        <v>22</v>
      </c>
      <c r="H586" s="1859" t="s">
        <v>22</v>
      </c>
      <c r="I586" s="1859" t="s">
        <v>1707</v>
      </c>
    </row>
    <row customHeight="1" ht="11.25">
      <c r="A587" s="1859" t="s">
        <v>2335</v>
      </c>
      <c r="B587" s="1859" t="s">
        <v>16</v>
      </c>
      <c r="C587" s="1859" t="s">
        <v>22</v>
      </c>
      <c r="D587" s="1859" t="s">
        <v>2456</v>
      </c>
      <c r="E587" s="1859" t="s">
        <v>2457</v>
      </c>
      <c r="F587" s="1859" t="s">
        <v>2349</v>
      </c>
      <c r="G587" s="1859" t="s">
        <v>22</v>
      </c>
      <c r="H587" s="1859" t="s">
        <v>22</v>
      </c>
      <c r="I587" s="1859" t="s">
        <v>1707</v>
      </c>
    </row>
    <row customHeight="1" ht="11.25">
      <c r="A588" s="1859" t="s">
        <v>2335</v>
      </c>
      <c r="B588" s="1859" t="s">
        <v>16</v>
      </c>
      <c r="C588" s="1859" t="s">
        <v>3413</v>
      </c>
      <c r="D588" s="1859" t="s">
        <v>3414</v>
      </c>
      <c r="E588" s="1859" t="s">
        <v>3415</v>
      </c>
      <c r="F588" s="1859" t="s">
        <v>648</v>
      </c>
      <c r="G588" s="1859" t="s">
        <v>3416</v>
      </c>
      <c r="H588" s="1859" t="s">
        <v>22</v>
      </c>
      <c r="I588" s="1859" t="s">
        <v>1707</v>
      </c>
    </row>
    <row customHeight="1" ht="11.25">
      <c r="A589" s="1859" t="s">
        <v>2335</v>
      </c>
      <c r="B589" s="1859" t="s">
        <v>16</v>
      </c>
      <c r="C589" s="1859" t="s">
        <v>3417</v>
      </c>
      <c r="D589" s="1859" t="s">
        <v>3418</v>
      </c>
      <c r="E589" s="1859" t="s">
        <v>3419</v>
      </c>
      <c r="F589" s="1859" t="s">
        <v>648</v>
      </c>
      <c r="G589" s="1859" t="s">
        <v>3420</v>
      </c>
      <c r="H589" s="1859" t="s">
        <v>22</v>
      </c>
      <c r="I589" s="1859" t="s">
        <v>1707</v>
      </c>
    </row>
    <row customHeight="1" ht="11.25">
      <c r="A590" s="1859" t="s">
        <v>2335</v>
      </c>
      <c r="B590" s="1859" t="s">
        <v>16</v>
      </c>
      <c r="C590" s="1859" t="s">
        <v>3421</v>
      </c>
      <c r="D590" s="1859" t="s">
        <v>3422</v>
      </c>
      <c r="E590" s="1859" t="s">
        <v>3423</v>
      </c>
      <c r="F590" s="1859" t="s">
        <v>648</v>
      </c>
      <c r="G590" s="1859" t="s">
        <v>3416</v>
      </c>
      <c r="H590" s="1859" t="s">
        <v>22</v>
      </c>
      <c r="I590" s="1859" t="s">
        <v>1707</v>
      </c>
    </row>
    <row customHeight="1" ht="11.25">
      <c r="A591" s="1859" t="s">
        <v>2335</v>
      </c>
      <c r="B591" s="1859" t="s">
        <v>16</v>
      </c>
      <c r="C591" s="1859" t="s">
        <v>3424</v>
      </c>
      <c r="D591" s="1859" t="s">
        <v>3425</v>
      </c>
      <c r="E591" s="1859" t="s">
        <v>3426</v>
      </c>
      <c r="F591" s="1859" t="s">
        <v>2473</v>
      </c>
      <c r="G591" s="1859" t="s">
        <v>3427</v>
      </c>
      <c r="H591" s="1859" t="s">
        <v>22</v>
      </c>
      <c r="I591" s="1859" t="s">
        <v>1707</v>
      </c>
    </row>
    <row customHeight="1" ht="11.25">
      <c r="A592" s="1859" t="s">
        <v>2335</v>
      </c>
      <c r="B592" s="1859" t="s">
        <v>16</v>
      </c>
      <c r="C592" s="1859" t="s">
        <v>3428</v>
      </c>
      <c r="D592" s="1859" t="s">
        <v>3429</v>
      </c>
      <c r="E592" s="1859" t="s">
        <v>3430</v>
      </c>
      <c r="F592" s="1859" t="s">
        <v>2469</v>
      </c>
      <c r="G592" s="1859" t="s">
        <v>22</v>
      </c>
      <c r="H592" s="1859" t="s">
        <v>22</v>
      </c>
      <c r="I592" s="1859" t="s">
        <v>1707</v>
      </c>
    </row>
    <row customHeight="1" ht="11.25">
      <c r="A593" s="1859" t="s">
        <v>2335</v>
      </c>
      <c r="B593" s="1859" t="s">
        <v>16</v>
      </c>
      <c r="C593" s="1859" t="s">
        <v>3040</v>
      </c>
      <c r="D593" s="1859" t="s">
        <v>3041</v>
      </c>
      <c r="E593" s="1859" t="s">
        <v>3042</v>
      </c>
      <c r="F593" s="1859" t="s">
        <v>3043</v>
      </c>
      <c r="G593" s="1859" t="s">
        <v>22</v>
      </c>
      <c r="H593" s="1859" t="s">
        <v>22</v>
      </c>
      <c r="I593" s="1859" t="s">
        <v>1707</v>
      </c>
    </row>
    <row customHeight="1" ht="11.25">
      <c r="A594" s="1859" t="s">
        <v>2335</v>
      </c>
      <c r="B594" s="1859" t="s">
        <v>16</v>
      </c>
      <c r="C594" s="1859" t="s">
        <v>2536</v>
      </c>
      <c r="D594" s="1859" t="s">
        <v>2537</v>
      </c>
      <c r="E594" s="1859" t="s">
        <v>2538</v>
      </c>
      <c r="F594" s="1859" t="s">
        <v>2539</v>
      </c>
      <c r="G594" s="1859" t="s">
        <v>22</v>
      </c>
      <c r="H594" s="1859" t="s">
        <v>22</v>
      </c>
      <c r="I594" s="1859" t="s">
        <v>1707</v>
      </c>
    </row>
    <row customHeight="1" ht="11.25">
      <c r="A595" s="1859" t="s">
        <v>2335</v>
      </c>
      <c r="B595" s="1859" t="s">
        <v>16</v>
      </c>
      <c r="C595" s="1859" t="s">
        <v>2540</v>
      </c>
      <c r="D595" s="1859" t="s">
        <v>2541</v>
      </c>
      <c r="E595" s="1859" t="s">
        <v>2542</v>
      </c>
      <c r="F595" s="1859" t="s">
        <v>2543</v>
      </c>
      <c r="G595" s="1859" t="s">
        <v>22</v>
      </c>
      <c r="H595" s="1859" t="s">
        <v>22</v>
      </c>
      <c r="I595" s="1859" t="s">
        <v>1707</v>
      </c>
    </row>
    <row customHeight="1" ht="11.25">
      <c r="A596" s="1859" t="s">
        <v>2335</v>
      </c>
      <c r="B596" s="1859" t="s">
        <v>16</v>
      </c>
      <c r="C596" s="1859" t="s">
        <v>3431</v>
      </c>
      <c r="D596" s="1859" t="s">
        <v>3432</v>
      </c>
      <c r="E596" s="1859" t="s">
        <v>3433</v>
      </c>
      <c r="F596" s="1859" t="s">
        <v>2658</v>
      </c>
      <c r="G596" s="1859" t="s">
        <v>3434</v>
      </c>
      <c r="H596" s="1859" t="s">
        <v>22</v>
      </c>
      <c r="I596" s="1859" t="s">
        <v>1707</v>
      </c>
    </row>
    <row customHeight="1" ht="11.25">
      <c r="A597" s="1859" t="s">
        <v>2335</v>
      </c>
      <c r="B597" s="1859" t="s">
        <v>16</v>
      </c>
      <c r="C597" s="1859" t="s">
        <v>3435</v>
      </c>
      <c r="D597" s="1859" t="s">
        <v>3436</v>
      </c>
      <c r="E597" s="1859" t="s">
        <v>3437</v>
      </c>
      <c r="F597" s="1859" t="s">
        <v>2414</v>
      </c>
      <c r="G597" s="1859" t="s">
        <v>3438</v>
      </c>
      <c r="H597" s="1859" t="s">
        <v>22</v>
      </c>
      <c r="I597" s="1859" t="s">
        <v>1707</v>
      </c>
    </row>
    <row customHeight="1" ht="11.25">
      <c r="A598" s="1859" t="s">
        <v>2335</v>
      </c>
      <c r="B598" s="1859" t="s">
        <v>16</v>
      </c>
      <c r="C598" s="1859" t="s">
        <v>3362</v>
      </c>
      <c r="D598" s="1859" t="s">
        <v>3363</v>
      </c>
      <c r="E598" s="1859" t="s">
        <v>3364</v>
      </c>
      <c r="F598" s="1859" t="s">
        <v>2658</v>
      </c>
      <c r="G598" s="1859" t="s">
        <v>22</v>
      </c>
      <c r="H598" s="1859" t="s">
        <v>22</v>
      </c>
      <c r="I598" s="1859" t="s">
        <v>1707</v>
      </c>
    </row>
    <row customHeight="1" ht="11.25">
      <c r="A599" s="1859" t="s">
        <v>2335</v>
      </c>
      <c r="B599" s="1859" t="s">
        <v>16</v>
      </c>
      <c r="C599" s="1859" t="s">
        <v>3439</v>
      </c>
      <c r="D599" s="1859" t="s">
        <v>3440</v>
      </c>
      <c r="E599" s="1859" t="s">
        <v>3441</v>
      </c>
      <c r="F599" s="1859" t="s">
        <v>2395</v>
      </c>
      <c r="G599" s="1859" t="s">
        <v>3442</v>
      </c>
      <c r="H599" s="1859" t="s">
        <v>22</v>
      </c>
      <c r="I599" s="1859" t="s">
        <v>1707</v>
      </c>
    </row>
    <row customHeight="1" ht="11.25">
      <c r="A600" s="1859" t="s">
        <v>2335</v>
      </c>
      <c r="B600" s="1859" t="s">
        <v>16</v>
      </c>
      <c r="C600" s="1859" t="s">
        <v>2593</v>
      </c>
      <c r="D600" s="1859" t="s">
        <v>2594</v>
      </c>
      <c r="E600" s="1859" t="s">
        <v>2595</v>
      </c>
      <c r="F600" s="1859" t="s">
        <v>2576</v>
      </c>
      <c r="G600" s="1859" t="s">
        <v>22</v>
      </c>
      <c r="H600" s="1859" t="s">
        <v>22</v>
      </c>
      <c r="I600" s="1859" t="s">
        <v>1707</v>
      </c>
    </row>
    <row customHeight="1" ht="11.25">
      <c r="A601" s="1859" t="s">
        <v>2335</v>
      </c>
      <c r="B601" s="1859" t="s">
        <v>16</v>
      </c>
      <c r="C601" s="1859" t="s">
        <v>3443</v>
      </c>
      <c r="D601" s="1859" t="s">
        <v>3444</v>
      </c>
      <c r="E601" s="1859" t="s">
        <v>3445</v>
      </c>
      <c r="F601" s="1859" t="s">
        <v>2395</v>
      </c>
      <c r="G601" s="1859" t="s">
        <v>3446</v>
      </c>
      <c r="H601" s="1859" t="s">
        <v>22</v>
      </c>
      <c r="I601" s="1859" t="s">
        <v>1707</v>
      </c>
    </row>
    <row customHeight="1" ht="11.25">
      <c r="A602" s="1859" t="s">
        <v>2335</v>
      </c>
      <c r="B602" s="1859" t="s">
        <v>16</v>
      </c>
      <c r="C602" s="1859" t="s">
        <v>2642</v>
      </c>
      <c r="D602" s="1859" t="s">
        <v>2643</v>
      </c>
      <c r="E602" s="1859" t="s">
        <v>2644</v>
      </c>
      <c r="F602" s="1859" t="s">
        <v>2481</v>
      </c>
      <c r="G602" s="1859" t="s">
        <v>22</v>
      </c>
      <c r="H602" s="1859" t="s">
        <v>22</v>
      </c>
      <c r="I602" s="1859" t="s">
        <v>1707</v>
      </c>
    </row>
    <row customHeight="1" ht="11.25">
      <c r="A603" s="1859" t="s">
        <v>2335</v>
      </c>
      <c r="B603" s="1859" t="s">
        <v>16</v>
      </c>
      <c r="C603" s="1859" t="s">
        <v>3447</v>
      </c>
      <c r="D603" s="1859" t="s">
        <v>3448</v>
      </c>
      <c r="E603" s="1859" t="s">
        <v>3449</v>
      </c>
      <c r="F603" s="1859" t="s">
        <v>2513</v>
      </c>
      <c r="G603" s="1859" t="s">
        <v>22</v>
      </c>
      <c r="H603" s="1859" t="s">
        <v>22</v>
      </c>
      <c r="I603" s="1859" t="s">
        <v>1707</v>
      </c>
    </row>
    <row customHeight="1" ht="11.25">
      <c r="A604" s="1859" t="s">
        <v>2335</v>
      </c>
      <c r="B604" s="1859" t="s">
        <v>16</v>
      </c>
      <c r="C604" s="1859" t="s">
        <v>3450</v>
      </c>
      <c r="D604" s="1859" t="s">
        <v>3451</v>
      </c>
      <c r="E604" s="1859" t="s">
        <v>3452</v>
      </c>
      <c r="F604" s="1859" t="s">
        <v>2349</v>
      </c>
      <c r="G604" s="1859" t="s">
        <v>3453</v>
      </c>
      <c r="H604" s="1859" t="s">
        <v>22</v>
      </c>
      <c r="I604" s="1859" t="s">
        <v>1707</v>
      </c>
    </row>
    <row customHeight="1" ht="11.25">
      <c r="A605" s="1859" t="s">
        <v>2335</v>
      </c>
      <c r="B605" s="1859" t="s">
        <v>16</v>
      </c>
      <c r="C605" s="1859" t="s">
        <v>3454</v>
      </c>
      <c r="D605" s="1859" t="s">
        <v>3455</v>
      </c>
      <c r="E605" s="1859" t="s">
        <v>3456</v>
      </c>
      <c r="F605" s="1859" t="s">
        <v>2586</v>
      </c>
      <c r="G605" s="1859" t="s">
        <v>22</v>
      </c>
      <c r="H605" s="1859" t="s">
        <v>22</v>
      </c>
      <c r="I605" s="1859" t="s">
        <v>1707</v>
      </c>
    </row>
    <row customHeight="1" ht="11.25">
      <c r="A606" s="1859" t="s">
        <v>2335</v>
      </c>
      <c r="B606" s="1859" t="s">
        <v>16</v>
      </c>
      <c r="C606" s="1859" t="s">
        <v>3457</v>
      </c>
      <c r="D606" s="1859" t="s">
        <v>3458</v>
      </c>
      <c r="E606" s="1859" t="s">
        <v>3459</v>
      </c>
      <c r="F606" s="1859" t="s">
        <v>2414</v>
      </c>
      <c r="G606" s="1859" t="s">
        <v>3460</v>
      </c>
      <c r="H606" s="1859" t="s">
        <v>22</v>
      </c>
      <c r="I606" s="1859" t="s">
        <v>1707</v>
      </c>
    </row>
    <row customHeight="1" ht="11.25">
      <c r="A607" s="1859" t="s">
        <v>2335</v>
      </c>
      <c r="B607" s="1859" t="s">
        <v>16</v>
      </c>
      <c r="C607" s="1859" t="s">
        <v>3461</v>
      </c>
      <c r="D607" s="1859" t="s">
        <v>3462</v>
      </c>
      <c r="E607" s="1859" t="s">
        <v>3463</v>
      </c>
      <c r="F607" s="1859" t="s">
        <v>2395</v>
      </c>
      <c r="G607" s="1859" t="s">
        <v>3464</v>
      </c>
      <c r="H607" s="1859" t="s">
        <v>22</v>
      </c>
      <c r="I607" s="1859" t="s">
        <v>1707</v>
      </c>
    </row>
    <row customHeight="1" ht="11.25">
      <c r="A608" s="1859" t="s">
        <v>2335</v>
      </c>
      <c r="B608" s="1859" t="s">
        <v>16</v>
      </c>
      <c r="C608" s="1859" t="s">
        <v>3465</v>
      </c>
      <c r="D608" s="1859" t="s">
        <v>3466</v>
      </c>
      <c r="E608" s="1859" t="s">
        <v>3467</v>
      </c>
      <c r="F608" s="1859" t="s">
        <v>2364</v>
      </c>
      <c r="G608" s="1859" t="s">
        <v>3468</v>
      </c>
      <c r="H608" s="1859" t="s">
        <v>22</v>
      </c>
      <c r="I608" s="1859" t="s">
        <v>1707</v>
      </c>
    </row>
    <row customHeight="1" ht="11.25">
      <c r="A609" s="1859" t="s">
        <v>2335</v>
      </c>
      <c r="B609" s="1859" t="s">
        <v>16</v>
      </c>
      <c r="C609" s="1859" t="s">
        <v>3469</v>
      </c>
      <c r="D609" s="1859" t="s">
        <v>3470</v>
      </c>
      <c r="E609" s="1859" t="s">
        <v>3471</v>
      </c>
      <c r="F609" s="1859" t="s">
        <v>3472</v>
      </c>
      <c r="G609" s="1859" t="s">
        <v>3473</v>
      </c>
      <c r="H609" s="1859" t="s">
        <v>22</v>
      </c>
      <c r="I609" s="1859" t="s">
        <v>1707</v>
      </c>
    </row>
    <row customHeight="1" ht="11.25">
      <c r="A610" s="1859" t="s">
        <v>2335</v>
      </c>
      <c r="B610" s="1859" t="s">
        <v>16</v>
      </c>
      <c r="C610" s="1859" t="s">
        <v>3474</v>
      </c>
      <c r="D610" s="1859" t="s">
        <v>3475</v>
      </c>
      <c r="E610" s="1859" t="s">
        <v>3476</v>
      </c>
      <c r="F610" s="1859" t="s">
        <v>2395</v>
      </c>
      <c r="G610" s="1859" t="s">
        <v>22</v>
      </c>
      <c r="H610" s="1859" t="s">
        <v>22</v>
      </c>
      <c r="I610" s="1859" t="s">
        <v>1707</v>
      </c>
    </row>
    <row customHeight="1" ht="11.25">
      <c r="A611" s="1859" t="s">
        <v>2335</v>
      </c>
      <c r="B611" s="1859" t="s">
        <v>16</v>
      </c>
      <c r="C611" s="1859" t="s">
        <v>3477</v>
      </c>
      <c r="D611" s="1859" t="s">
        <v>3478</v>
      </c>
      <c r="E611" s="1859" t="s">
        <v>3479</v>
      </c>
      <c r="F611" s="1859" t="s">
        <v>2410</v>
      </c>
      <c r="G611" s="1859" t="s">
        <v>3480</v>
      </c>
      <c r="H611" s="1859" t="s">
        <v>22</v>
      </c>
      <c r="I611" s="1859" t="s">
        <v>1707</v>
      </c>
    </row>
    <row customHeight="1" ht="11.25">
      <c r="A612" s="1859" t="s">
        <v>2335</v>
      </c>
      <c r="B612" s="1859" t="s">
        <v>16</v>
      </c>
      <c r="C612" s="1859" t="s">
        <v>3481</v>
      </c>
      <c r="D612" s="1859" t="s">
        <v>3482</v>
      </c>
      <c r="E612" s="1859" t="s">
        <v>3483</v>
      </c>
      <c r="F612" s="1859" t="s">
        <v>2414</v>
      </c>
      <c r="G612" s="1859" t="s">
        <v>22</v>
      </c>
      <c r="H612" s="1859" t="s">
        <v>22</v>
      </c>
      <c r="I612" s="1859" t="s">
        <v>1707</v>
      </c>
    </row>
    <row customHeight="1" ht="11.25">
      <c r="A613" s="1859" t="s">
        <v>2335</v>
      </c>
      <c r="B613" s="1859" t="s">
        <v>16</v>
      </c>
      <c r="C613" s="1859" t="s">
        <v>3484</v>
      </c>
      <c r="D613" s="1859" t="s">
        <v>3485</v>
      </c>
      <c r="E613" s="1859" t="s">
        <v>3486</v>
      </c>
      <c r="F613" s="1859" t="s">
        <v>2410</v>
      </c>
      <c r="G613" s="1859" t="s">
        <v>3487</v>
      </c>
      <c r="H613" s="1859" t="s">
        <v>22</v>
      </c>
      <c r="I613" s="1859" t="s">
        <v>1707</v>
      </c>
    </row>
    <row customHeight="1" ht="11.25">
      <c r="A614" s="1859" t="s">
        <v>2335</v>
      </c>
      <c r="B614" s="1859" t="s">
        <v>16</v>
      </c>
      <c r="C614" s="1859" t="s">
        <v>3488</v>
      </c>
      <c r="D614" s="1859" t="s">
        <v>3489</v>
      </c>
      <c r="E614" s="1859" t="s">
        <v>3490</v>
      </c>
      <c r="F614" s="1859" t="s">
        <v>2402</v>
      </c>
      <c r="G614" s="1859" t="s">
        <v>22</v>
      </c>
      <c r="H614" s="1859" t="s">
        <v>22</v>
      </c>
      <c r="I614" s="1859" t="s">
        <v>1707</v>
      </c>
    </row>
    <row customHeight="1" ht="11.25">
      <c r="A615" s="1859" t="s">
        <v>2335</v>
      </c>
      <c r="B615" s="1859" t="s">
        <v>16</v>
      </c>
      <c r="C615" s="1859" t="s">
        <v>3281</v>
      </c>
      <c r="D615" s="1859" t="s">
        <v>3282</v>
      </c>
      <c r="E615" s="1859" t="s">
        <v>3283</v>
      </c>
      <c r="F615" s="1859" t="s">
        <v>2605</v>
      </c>
      <c r="G615" s="1859" t="s">
        <v>3284</v>
      </c>
      <c r="H615" s="1859" t="s">
        <v>22</v>
      </c>
      <c r="I615" s="1859" t="s">
        <v>1707</v>
      </c>
    </row>
    <row customHeight="1" ht="11.25">
      <c r="A616" s="1859" t="s">
        <v>2335</v>
      </c>
      <c r="B616" s="1859" t="s">
        <v>16</v>
      </c>
      <c r="C616" s="1859" t="s">
        <v>3491</v>
      </c>
      <c r="D616" s="1859" t="s">
        <v>3492</v>
      </c>
      <c r="E616" s="1859" t="s">
        <v>3493</v>
      </c>
      <c r="F616" s="1859" t="s">
        <v>2465</v>
      </c>
      <c r="G616" s="1859" t="s">
        <v>3494</v>
      </c>
      <c r="H616" s="1859" t="s">
        <v>22</v>
      </c>
      <c r="I616" s="1859" t="s">
        <v>1707</v>
      </c>
    </row>
    <row customHeight="1" ht="11.25">
      <c r="A617" s="1859" t="s">
        <v>2335</v>
      </c>
      <c r="B617" s="1859" t="s">
        <v>16</v>
      </c>
      <c r="C617" s="1859" t="s">
        <v>3495</v>
      </c>
      <c r="D617" s="1859" t="s">
        <v>3496</v>
      </c>
      <c r="E617" s="1859" t="s">
        <v>3497</v>
      </c>
      <c r="F617" s="1859" t="s">
        <v>3498</v>
      </c>
      <c r="G617" s="1859" t="s">
        <v>3499</v>
      </c>
      <c r="H617" s="1859" t="s">
        <v>22</v>
      </c>
      <c r="I617" s="1859" t="s">
        <v>1707</v>
      </c>
    </row>
    <row customHeight="1" ht="11.25">
      <c r="A618" s="1859" t="s">
        <v>2335</v>
      </c>
      <c r="B618" s="1859" t="s">
        <v>16</v>
      </c>
      <c r="C618" s="1859" t="s">
        <v>3298</v>
      </c>
      <c r="D618" s="1859" t="s">
        <v>3299</v>
      </c>
      <c r="E618" s="1859" t="s">
        <v>3300</v>
      </c>
      <c r="F618" s="1859" t="s">
        <v>2455</v>
      </c>
      <c r="G618" s="1859" t="s">
        <v>22</v>
      </c>
      <c r="H618" s="1859" t="s">
        <v>22</v>
      </c>
      <c r="I618" s="1859" t="s">
        <v>1707</v>
      </c>
    </row>
    <row customHeight="1" ht="11.25">
      <c r="A619" s="1859" t="s">
        <v>2335</v>
      </c>
      <c r="B619" s="1859" t="s">
        <v>16</v>
      </c>
      <c r="C619" s="1859" t="s">
        <v>3500</v>
      </c>
      <c r="D619" s="1859" t="s">
        <v>3501</v>
      </c>
      <c r="E619" s="1859" t="s">
        <v>3502</v>
      </c>
      <c r="F619" s="1859" t="s">
        <v>2372</v>
      </c>
      <c r="G619" s="1859" t="s">
        <v>22</v>
      </c>
      <c r="H619" s="1859" t="s">
        <v>22</v>
      </c>
      <c r="I619" s="1859" t="s">
        <v>1707</v>
      </c>
    </row>
    <row customHeight="1" ht="11.25">
      <c r="A620" s="1859" t="s">
        <v>2335</v>
      </c>
      <c r="B620" s="1859" t="s">
        <v>16</v>
      </c>
      <c r="C620" s="1859" t="s">
        <v>3503</v>
      </c>
      <c r="D620" s="1859" t="s">
        <v>3504</v>
      </c>
      <c r="E620" s="1859" t="s">
        <v>3505</v>
      </c>
      <c r="F620" s="1859" t="s">
        <v>2576</v>
      </c>
      <c r="G620" s="1859" t="s">
        <v>3506</v>
      </c>
      <c r="H620" s="1859" t="s">
        <v>22</v>
      </c>
      <c r="I620" s="1859" t="s">
        <v>1707</v>
      </c>
    </row>
    <row customHeight="1" ht="11.25">
      <c r="A621" s="1859" t="s">
        <v>2335</v>
      </c>
      <c r="B621" s="1859" t="s">
        <v>16</v>
      </c>
      <c r="C621" s="1859" t="s">
        <v>3371</v>
      </c>
      <c r="D621" s="1859" t="s">
        <v>3372</v>
      </c>
      <c r="E621" s="1859" t="s">
        <v>3373</v>
      </c>
      <c r="F621" s="1859" t="s">
        <v>2372</v>
      </c>
      <c r="G621" s="1859" t="s">
        <v>22</v>
      </c>
      <c r="H621" s="1859" t="s">
        <v>22</v>
      </c>
      <c r="I621" s="1859" t="s">
        <v>1707</v>
      </c>
    </row>
    <row customHeight="1" ht="11.25">
      <c r="A622" s="1859" t="s">
        <v>2335</v>
      </c>
      <c r="B622" s="1859" t="s">
        <v>16</v>
      </c>
      <c r="C622" s="1859" t="s">
        <v>3507</v>
      </c>
      <c r="D622" s="1859" t="s">
        <v>3508</v>
      </c>
      <c r="E622" s="1859" t="s">
        <v>3509</v>
      </c>
      <c r="F622" s="1859" t="s">
        <v>2455</v>
      </c>
      <c r="G622" s="1859" t="s">
        <v>3510</v>
      </c>
      <c r="H622" s="1859" t="s">
        <v>22</v>
      </c>
      <c r="I622" s="1859" t="s">
        <v>1707</v>
      </c>
    </row>
    <row customHeight="1" ht="11.25">
      <c r="A623" s="1859" t="s">
        <v>2335</v>
      </c>
      <c r="B623" s="1859" t="s">
        <v>16</v>
      </c>
      <c r="C623" s="1859" t="s">
        <v>3511</v>
      </c>
      <c r="D623" s="1859" t="s">
        <v>3512</v>
      </c>
      <c r="E623" s="1859" t="s">
        <v>3513</v>
      </c>
      <c r="F623" s="1859" t="s">
        <v>2406</v>
      </c>
      <c r="G623" s="1859" t="s">
        <v>3514</v>
      </c>
      <c r="H623" s="1859" t="s">
        <v>22</v>
      </c>
      <c r="I623" s="1859" t="s">
        <v>1707</v>
      </c>
    </row>
    <row customHeight="1" ht="11.25">
      <c r="A624" s="1859" t="s">
        <v>2335</v>
      </c>
      <c r="B624" s="1859" t="s">
        <v>16</v>
      </c>
      <c r="C624" s="1859" t="s">
        <v>3515</v>
      </c>
      <c r="D624" s="1859" t="s">
        <v>3516</v>
      </c>
      <c r="E624" s="1859" t="s">
        <v>3517</v>
      </c>
      <c r="F624" s="1859" t="s">
        <v>2364</v>
      </c>
      <c r="G624" s="1859" t="s">
        <v>3518</v>
      </c>
      <c r="H624" s="1859" t="s">
        <v>22</v>
      </c>
      <c r="I624" s="1859" t="s">
        <v>1707</v>
      </c>
    </row>
    <row customHeight="1" ht="11.25">
      <c r="A625" s="1859" t="s">
        <v>2335</v>
      </c>
      <c r="B625" s="1859" t="s">
        <v>16</v>
      </c>
      <c r="C625" s="1859" t="s">
        <v>3519</v>
      </c>
      <c r="D625" s="1859" t="s">
        <v>3520</v>
      </c>
      <c r="E625" s="1859" t="s">
        <v>3521</v>
      </c>
      <c r="F625" s="1859" t="s">
        <v>2414</v>
      </c>
      <c r="G625" s="1859" t="s">
        <v>3522</v>
      </c>
      <c r="H625" s="1859" t="s">
        <v>22</v>
      </c>
      <c r="I625" s="1859" t="s">
        <v>1707</v>
      </c>
    </row>
    <row customHeight="1" ht="11.25">
      <c r="A626" s="1859" t="s">
        <v>2335</v>
      </c>
      <c r="B626" s="1859" t="s">
        <v>16</v>
      </c>
      <c r="C626" s="1859" t="s">
        <v>3523</v>
      </c>
      <c r="D626" s="1859" t="s">
        <v>3524</v>
      </c>
      <c r="E626" s="1859" t="s">
        <v>3525</v>
      </c>
      <c r="F626" s="1859" t="s">
        <v>2518</v>
      </c>
      <c r="G626" s="1859" t="s">
        <v>22</v>
      </c>
      <c r="H626" s="1859" t="s">
        <v>22</v>
      </c>
      <c r="I626" s="1859" t="s">
        <v>1707</v>
      </c>
    </row>
    <row customHeight="1" ht="11.25">
      <c r="A627" s="1859" t="s">
        <v>2335</v>
      </c>
      <c r="B627" s="1859" t="s">
        <v>16</v>
      </c>
      <c r="C627" s="1859" t="s">
        <v>3526</v>
      </c>
      <c r="D627" s="1859" t="s">
        <v>3527</v>
      </c>
      <c r="E627" s="1859" t="s">
        <v>3528</v>
      </c>
      <c r="F627" s="1859" t="s">
        <v>2395</v>
      </c>
      <c r="G627" s="1859" t="s">
        <v>22</v>
      </c>
      <c r="H627" s="1859" t="s">
        <v>22</v>
      </c>
      <c r="I627" s="1859" t="s">
        <v>1707</v>
      </c>
    </row>
    <row customHeight="1" ht="11.25">
      <c r="A628" s="1859" t="s">
        <v>2335</v>
      </c>
      <c r="B628" s="1859" t="s">
        <v>16</v>
      </c>
      <c r="C628" s="1859" t="s">
        <v>3529</v>
      </c>
      <c r="D628" s="1859" t="s">
        <v>3530</v>
      </c>
      <c r="E628" s="1859" t="s">
        <v>3531</v>
      </c>
      <c r="F628" s="1859" t="s">
        <v>2473</v>
      </c>
      <c r="G628" s="1859" t="s">
        <v>22</v>
      </c>
      <c r="H628" s="1859" t="s">
        <v>22</v>
      </c>
      <c r="I628" s="1859" t="s">
        <v>1707</v>
      </c>
    </row>
    <row customHeight="1" ht="11.25">
      <c r="A629" s="1859" t="s">
        <v>2335</v>
      </c>
      <c r="B629" s="1859" t="s">
        <v>16</v>
      </c>
      <c r="C629" s="1859" t="s">
        <v>3532</v>
      </c>
      <c r="D629" s="1859" t="s">
        <v>3533</v>
      </c>
      <c r="E629" s="1859" t="s">
        <v>3534</v>
      </c>
      <c r="F629" s="1859" t="s">
        <v>2410</v>
      </c>
      <c r="G629" s="1859" t="s">
        <v>3535</v>
      </c>
      <c r="H629" s="1859" t="s">
        <v>22</v>
      </c>
      <c r="I629" s="1859" t="s">
        <v>1707</v>
      </c>
    </row>
    <row customHeight="1" ht="11.25">
      <c r="A630" s="1859" t="s">
        <v>2335</v>
      </c>
      <c r="B630" s="1859" t="s">
        <v>16</v>
      </c>
      <c r="C630" s="1859" t="s">
        <v>3536</v>
      </c>
      <c r="D630" s="1859" t="s">
        <v>3537</v>
      </c>
      <c r="E630" s="1859" t="s">
        <v>3538</v>
      </c>
      <c r="F630" s="1859" t="s">
        <v>2473</v>
      </c>
      <c r="G630" s="1859" t="s">
        <v>22</v>
      </c>
      <c r="H630" s="1859" t="s">
        <v>22</v>
      </c>
      <c r="I630" s="1859" t="s">
        <v>1707</v>
      </c>
    </row>
    <row customHeight="1" ht="11.25">
      <c r="A631" s="1859" t="s">
        <v>2335</v>
      </c>
      <c r="B631" s="1859" t="s">
        <v>16</v>
      </c>
      <c r="C631" s="1859" t="s">
        <v>3539</v>
      </c>
      <c r="D631" s="1859" t="s">
        <v>3540</v>
      </c>
      <c r="E631" s="1859" t="s">
        <v>3541</v>
      </c>
      <c r="F631" s="1859" t="s">
        <v>2455</v>
      </c>
      <c r="G631" s="1859" t="s">
        <v>3542</v>
      </c>
      <c r="H631" s="1859" t="s">
        <v>22</v>
      </c>
      <c r="I631" s="1859" t="s">
        <v>1707</v>
      </c>
    </row>
    <row customHeight="1" ht="11.25">
      <c r="A632" s="1859" t="s">
        <v>2335</v>
      </c>
      <c r="B632" s="1859" t="s">
        <v>16</v>
      </c>
      <c r="C632" s="1859" t="s">
        <v>3543</v>
      </c>
      <c r="D632" s="1859" t="s">
        <v>3544</v>
      </c>
      <c r="E632" s="1859" t="s">
        <v>3545</v>
      </c>
      <c r="F632" s="1859" t="s">
        <v>3261</v>
      </c>
      <c r="G632" s="1859" t="s">
        <v>22</v>
      </c>
      <c r="H632" s="1859" t="s">
        <v>22</v>
      </c>
      <c r="I632" s="1859" t="s">
        <v>1707</v>
      </c>
    </row>
    <row customHeight="1" ht="11.25">
      <c r="A633" s="1859" t="s">
        <v>2335</v>
      </c>
      <c r="B633" s="1859" t="s">
        <v>16</v>
      </c>
      <c r="C633" s="1859" t="s">
        <v>3546</v>
      </c>
      <c r="D633" s="1859" t="s">
        <v>3547</v>
      </c>
      <c r="E633" s="1859" t="s">
        <v>3548</v>
      </c>
      <c r="F633" s="1859" t="s">
        <v>2465</v>
      </c>
      <c r="G633" s="1859" t="s">
        <v>3549</v>
      </c>
      <c r="H633" s="1859" t="s">
        <v>22</v>
      </c>
      <c r="I633" s="1859" t="s">
        <v>1707</v>
      </c>
    </row>
    <row customHeight="1" ht="11.25">
      <c r="A634" s="1859" t="s">
        <v>2335</v>
      </c>
      <c r="B634" s="1859" t="s">
        <v>16</v>
      </c>
      <c r="C634" s="1859" t="s">
        <v>3550</v>
      </c>
      <c r="D634" s="1859" t="s">
        <v>3551</v>
      </c>
      <c r="E634" s="1859" t="s">
        <v>3552</v>
      </c>
      <c r="F634" s="1859" t="s">
        <v>3205</v>
      </c>
      <c r="G634" s="1859" t="s">
        <v>22</v>
      </c>
      <c r="H634" s="1859" t="s">
        <v>22</v>
      </c>
      <c r="I634" s="1859" t="s">
        <v>1707</v>
      </c>
    </row>
    <row customHeight="1" ht="11.25">
      <c r="A635" s="1859" t="s">
        <v>2335</v>
      </c>
      <c r="B635" s="1859" t="s">
        <v>16</v>
      </c>
      <c r="C635" s="1859" t="s">
        <v>3553</v>
      </c>
      <c r="D635" s="1859" t="s">
        <v>3554</v>
      </c>
      <c r="E635" s="1859" t="s">
        <v>3555</v>
      </c>
      <c r="F635" s="1859" t="s">
        <v>2586</v>
      </c>
      <c r="G635" s="1859" t="s">
        <v>22</v>
      </c>
      <c r="H635" s="1859" t="s">
        <v>22</v>
      </c>
      <c r="I635" s="1859" t="s">
        <v>1707</v>
      </c>
    </row>
    <row customHeight="1" ht="11.25">
      <c r="A636" s="1859" t="s">
        <v>2335</v>
      </c>
      <c r="B636" s="1859" t="s">
        <v>16</v>
      </c>
      <c r="C636" s="1859" t="s">
        <v>3556</v>
      </c>
      <c r="D636" s="1859" t="s">
        <v>3557</v>
      </c>
      <c r="E636" s="1859" t="s">
        <v>3558</v>
      </c>
      <c r="F636" s="1859" t="s">
        <v>2455</v>
      </c>
      <c r="G636" s="1859" t="s">
        <v>22</v>
      </c>
      <c r="H636" s="1859" t="s">
        <v>2630</v>
      </c>
      <c r="I636" s="1859" t="s">
        <v>1707</v>
      </c>
    </row>
    <row customHeight="1" ht="11.25">
      <c r="A637" s="1859" t="s">
        <v>2335</v>
      </c>
      <c r="B637" s="1859" t="s">
        <v>16</v>
      </c>
      <c r="C637" s="1859" t="s">
        <v>2848</v>
      </c>
      <c r="D637" s="1859" t="s">
        <v>2849</v>
      </c>
      <c r="E637" s="1859" t="s">
        <v>2850</v>
      </c>
      <c r="F637" s="1859" t="s">
        <v>2372</v>
      </c>
      <c r="G637" s="1859" t="s">
        <v>22</v>
      </c>
      <c r="H637" s="1859" t="s">
        <v>22</v>
      </c>
      <c r="I637" s="1859" t="s">
        <v>1707</v>
      </c>
    </row>
    <row customHeight="1" ht="11.25">
      <c r="A638" s="1859" t="s">
        <v>2335</v>
      </c>
      <c r="B638" s="1859" t="s">
        <v>16</v>
      </c>
      <c r="C638" s="1859" t="s">
        <v>3559</v>
      </c>
      <c r="D638" s="1859" t="s">
        <v>3560</v>
      </c>
      <c r="E638" s="1859" t="s">
        <v>3561</v>
      </c>
      <c r="F638" s="1859" t="s">
        <v>2465</v>
      </c>
      <c r="G638" s="1859" t="s">
        <v>22</v>
      </c>
      <c r="H638" s="1859" t="s">
        <v>22</v>
      </c>
      <c r="I638" s="1859" t="s">
        <v>1707</v>
      </c>
    </row>
    <row customHeight="1" ht="11.25">
      <c r="A639" s="1859" t="s">
        <v>2335</v>
      </c>
      <c r="B639" s="1859" t="s">
        <v>16</v>
      </c>
      <c r="C639" s="1859" t="s">
        <v>3562</v>
      </c>
      <c r="D639" s="1859" t="s">
        <v>3563</v>
      </c>
      <c r="E639" s="1859" t="s">
        <v>3564</v>
      </c>
      <c r="F639" s="1859" t="s">
        <v>2586</v>
      </c>
      <c r="G639" s="1859" t="s">
        <v>22</v>
      </c>
      <c r="H639" s="1859" t="s">
        <v>22</v>
      </c>
      <c r="I639" s="1859" t="s">
        <v>1707</v>
      </c>
    </row>
    <row customHeight="1" ht="11.25">
      <c r="A640" s="1859" t="s">
        <v>2335</v>
      </c>
      <c r="B640" s="1859" t="s">
        <v>16</v>
      </c>
      <c r="C640" s="1859" t="s">
        <v>3565</v>
      </c>
      <c r="D640" s="1859" t="s">
        <v>3566</v>
      </c>
      <c r="E640" s="1859" t="s">
        <v>3567</v>
      </c>
      <c r="F640" s="1859" t="s">
        <v>2665</v>
      </c>
      <c r="G640" s="1859" t="s">
        <v>3568</v>
      </c>
      <c r="H640" s="1859" t="s">
        <v>22</v>
      </c>
      <c r="I640" s="1859" t="s">
        <v>1707</v>
      </c>
    </row>
    <row customHeight="1" ht="11.25">
      <c r="A641" s="1859" t="s">
        <v>2335</v>
      </c>
      <c r="B641" s="1859" t="s">
        <v>16</v>
      </c>
      <c r="C641" s="1859" t="s">
        <v>3569</v>
      </c>
      <c r="D641" s="1859" t="s">
        <v>3570</v>
      </c>
      <c r="E641" s="1859" t="s">
        <v>3571</v>
      </c>
      <c r="F641" s="1859" t="s">
        <v>2349</v>
      </c>
      <c r="G641" s="1859" t="s">
        <v>2915</v>
      </c>
      <c r="H641" s="1859" t="s">
        <v>22</v>
      </c>
      <c r="I641" s="1859" t="s">
        <v>1707</v>
      </c>
    </row>
    <row customHeight="1" ht="11.25">
      <c r="A642" s="1859" t="s">
        <v>2335</v>
      </c>
      <c r="B642" s="1859" t="s">
        <v>16</v>
      </c>
      <c r="C642" s="1859" t="s">
        <v>2989</v>
      </c>
      <c r="D642" s="1859" t="s">
        <v>2990</v>
      </c>
      <c r="E642" s="1859" t="s">
        <v>2991</v>
      </c>
      <c r="F642" s="1859" t="s">
        <v>2992</v>
      </c>
      <c r="G642" s="1859" t="s">
        <v>22</v>
      </c>
      <c r="H642" s="1859" t="s">
        <v>22</v>
      </c>
      <c r="I642" s="1859" t="s">
        <v>1707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C4171-AD36-E53A-027F-0.04ADEBB6}" mc:Ignorable="x14ac xr xr2 xr3">
  <sheetPr>
    <tabColor rgb="FFFFCC99"/>
  </sheetPr>
  <dimension ref="A1:G344"/>
  <sheetViews>
    <sheetView topLeftCell="A1" showGridLines="0" workbookViewId="0">
      <selection activeCell="A1" sqref="A1"/>
    </sheetView>
  </sheetViews>
  <sheetFormatPr customHeight="1" defaultRowHeight="11.25"/>
  <cols>
    <col min="1" max="1" style="1859" width="9.140625"/>
  </cols>
  <sheetData>
    <row customHeight="1" ht="11.25">
      <c r="A1" s="382" t="s">
        <v>3572</v>
      </c>
      <c r="B1" s="73" t="s">
        <v>3573</v>
      </c>
      <c r="C1" s="73" t="s">
        <v>3574</v>
      </c>
      <c r="D1" s="73" t="s">
        <v>3575</v>
      </c>
      <c r="E1" s="71" t="s">
        <v>3576</v>
      </c>
      <c r="F1" s="71" t="s">
        <v>3577</v>
      </c>
      <c r="G1" s="71" t="s">
        <v>3578</v>
      </c>
    </row>
    <row customHeight="1" ht="11.25">
      <c r="A2" s="382" t="s">
        <v>16</v>
      </c>
      <c r="B2" s="0" t="s">
        <v>3579</v>
      </c>
      <c r="C2" s="0" t="s">
        <v>3580</v>
      </c>
      <c r="D2" s="0" t="s">
        <v>3579</v>
      </c>
      <c r="E2" s="0" t="s">
        <v>3580</v>
      </c>
      <c r="F2" s="0" t="s">
        <v>3581</v>
      </c>
      <c r="G2" s="0" t="s">
        <v>109</v>
      </c>
    </row>
    <row customHeight="1" ht="11.25">
      <c r="A3" s="382" t="s">
        <v>16</v>
      </c>
      <c r="B3" s="0" t="s">
        <v>3579</v>
      </c>
      <c r="C3" s="0" t="s">
        <v>3580</v>
      </c>
      <c r="D3" s="0" t="s">
        <v>3582</v>
      </c>
      <c r="E3" s="0" t="s">
        <v>3583</v>
      </c>
      <c r="F3" s="0" t="s">
        <v>3584</v>
      </c>
      <c r="G3" s="0" t="s">
        <v>110</v>
      </c>
    </row>
    <row customHeight="1" ht="11.25">
      <c r="A4" s="382" t="s">
        <v>16</v>
      </c>
      <c r="B4" s="0" t="s">
        <v>3579</v>
      </c>
      <c r="C4" s="0" t="s">
        <v>3580</v>
      </c>
      <c r="D4" s="0" t="s">
        <v>3585</v>
      </c>
      <c r="E4" s="0" t="s">
        <v>3586</v>
      </c>
      <c r="F4" s="0" t="s">
        <v>3584</v>
      </c>
      <c r="G4" s="0" t="s">
        <v>90</v>
      </c>
    </row>
    <row customHeight="1" ht="11.25">
      <c r="A5" s="382" t="s">
        <v>16</v>
      </c>
      <c r="B5" s="0" t="s">
        <v>3579</v>
      </c>
      <c r="C5" s="0" t="s">
        <v>3580</v>
      </c>
      <c r="D5" s="0" t="s">
        <v>3587</v>
      </c>
      <c r="E5" s="0" t="s">
        <v>3588</v>
      </c>
      <c r="F5" s="0" t="s">
        <v>3584</v>
      </c>
      <c r="G5" s="0" t="s">
        <v>91</v>
      </c>
    </row>
    <row customHeight="1" ht="11.25">
      <c r="A6" s="382" t="s">
        <v>16</v>
      </c>
      <c r="B6" s="0" t="s">
        <v>3579</v>
      </c>
      <c r="C6" s="0" t="s">
        <v>3580</v>
      </c>
      <c r="D6" s="0" t="s">
        <v>3589</v>
      </c>
      <c r="E6" s="0" t="s">
        <v>3590</v>
      </c>
      <c r="F6" s="0" t="s">
        <v>3584</v>
      </c>
      <c r="G6" s="0" t="s">
        <v>111</v>
      </c>
    </row>
    <row customHeight="1" ht="11.25">
      <c r="A7" s="382" t="s">
        <v>16</v>
      </c>
      <c r="B7" s="0" t="s">
        <v>3579</v>
      </c>
      <c r="C7" s="0" t="s">
        <v>3580</v>
      </c>
      <c r="D7" s="0" t="s">
        <v>3591</v>
      </c>
      <c r="E7" s="0" t="s">
        <v>3592</v>
      </c>
      <c r="F7" s="0" t="s">
        <v>3584</v>
      </c>
      <c r="G7" s="0" t="s">
        <v>92</v>
      </c>
    </row>
    <row customHeight="1" ht="11.25">
      <c r="A8" s="382" t="s">
        <v>16</v>
      </c>
      <c r="B8" s="0" t="s">
        <v>3593</v>
      </c>
      <c r="C8" s="0" t="s">
        <v>3594</v>
      </c>
      <c r="D8" s="0" t="s">
        <v>3593</v>
      </c>
      <c r="E8" s="0" t="s">
        <v>3594</v>
      </c>
      <c r="F8" s="0" t="s">
        <v>3581</v>
      </c>
      <c r="G8" s="0" t="s">
        <v>93</v>
      </c>
    </row>
    <row customHeight="1" ht="11.25">
      <c r="A9" s="382" t="s">
        <v>16</v>
      </c>
      <c r="B9" s="0" t="s">
        <v>3593</v>
      </c>
      <c r="C9" s="0" t="s">
        <v>3594</v>
      </c>
      <c r="D9" s="0" t="s">
        <v>3595</v>
      </c>
      <c r="E9" s="0" t="s">
        <v>3596</v>
      </c>
      <c r="F9" s="0" t="s">
        <v>3597</v>
      </c>
      <c r="G9" s="0" t="s">
        <v>112</v>
      </c>
    </row>
    <row customHeight="1" ht="11.25">
      <c r="A10" s="382" t="s">
        <v>16</v>
      </c>
      <c r="B10" s="0" t="s">
        <v>3593</v>
      </c>
      <c r="C10" s="0" t="s">
        <v>3594</v>
      </c>
      <c r="D10" s="0" t="s">
        <v>3598</v>
      </c>
      <c r="E10" s="0" t="s">
        <v>3599</v>
      </c>
      <c r="F10" s="0" t="s">
        <v>3597</v>
      </c>
      <c r="G10" s="0" t="s">
        <v>136</v>
      </c>
    </row>
    <row customHeight="1" ht="11.25">
      <c r="A11" s="382" t="s">
        <v>16</v>
      </c>
      <c r="B11" s="0" t="s">
        <v>3593</v>
      </c>
      <c r="C11" s="0" t="s">
        <v>3594</v>
      </c>
      <c r="D11" s="0" t="s">
        <v>3600</v>
      </c>
      <c r="E11" s="0" t="s">
        <v>3601</v>
      </c>
      <c r="F11" s="0" t="s">
        <v>3584</v>
      </c>
      <c r="G11" s="0" t="s">
        <v>139</v>
      </c>
    </row>
    <row customHeight="1" ht="11.25">
      <c r="A12" s="382" t="s">
        <v>16</v>
      </c>
      <c r="B12" s="0" t="s">
        <v>3593</v>
      </c>
      <c r="C12" s="0" t="s">
        <v>3594</v>
      </c>
      <c r="D12" s="0" t="s">
        <v>3602</v>
      </c>
      <c r="E12" s="0" t="s">
        <v>3603</v>
      </c>
      <c r="F12" s="0" t="s">
        <v>3584</v>
      </c>
      <c r="G12" s="0" t="s">
        <v>142</v>
      </c>
    </row>
    <row customHeight="1" ht="11.25">
      <c r="A13" s="382" t="s">
        <v>16</v>
      </c>
      <c r="B13" s="0" t="s">
        <v>3593</v>
      </c>
      <c r="C13" s="0" t="s">
        <v>3594</v>
      </c>
      <c r="D13" s="0" t="s">
        <v>3604</v>
      </c>
      <c r="E13" s="0" t="s">
        <v>3605</v>
      </c>
      <c r="F13" s="0" t="s">
        <v>3584</v>
      </c>
      <c r="G13" s="0" t="s">
        <v>145</v>
      </c>
    </row>
    <row customHeight="1" ht="11.25">
      <c r="A14" s="382" t="s">
        <v>16</v>
      </c>
      <c r="B14" s="0" t="s">
        <v>3593</v>
      </c>
      <c r="C14" s="0" t="s">
        <v>3594</v>
      </c>
      <c r="D14" s="0" t="s">
        <v>3606</v>
      </c>
      <c r="E14" s="0" t="s">
        <v>3607</v>
      </c>
      <c r="F14" s="0" t="s">
        <v>3584</v>
      </c>
      <c r="G14" s="0" t="s">
        <v>148</v>
      </c>
    </row>
    <row customHeight="1" ht="11.25">
      <c r="A15" s="382" t="s">
        <v>16</v>
      </c>
      <c r="B15" s="0" t="s">
        <v>3593</v>
      </c>
      <c r="C15" s="0" t="s">
        <v>3594</v>
      </c>
      <c r="D15" s="0" t="s">
        <v>3608</v>
      </c>
      <c r="E15" s="0" t="s">
        <v>3609</v>
      </c>
      <c r="F15" s="0" t="s">
        <v>3584</v>
      </c>
      <c r="G15" s="0" t="s">
        <v>151</v>
      </c>
    </row>
    <row customHeight="1" ht="11.25">
      <c r="A16" s="382" t="s">
        <v>16</v>
      </c>
      <c r="B16" s="0" t="s">
        <v>3593</v>
      </c>
      <c r="C16" s="0" t="s">
        <v>3594</v>
      </c>
      <c r="D16" s="0" t="s">
        <v>3610</v>
      </c>
      <c r="E16" s="0" t="s">
        <v>3611</v>
      </c>
      <c r="F16" s="0" t="s">
        <v>3584</v>
      </c>
      <c r="G16" s="0" t="s">
        <v>154</v>
      </c>
    </row>
    <row customHeight="1" ht="11.25">
      <c r="A17" s="382" t="s">
        <v>16</v>
      </c>
      <c r="B17" s="0" t="s">
        <v>3593</v>
      </c>
      <c r="C17" s="0" t="s">
        <v>3594</v>
      </c>
      <c r="D17" s="0" t="s">
        <v>3612</v>
      </c>
      <c r="E17" s="0" t="s">
        <v>3613</v>
      </c>
      <c r="F17" s="0" t="s">
        <v>3584</v>
      </c>
      <c r="G17" s="0" t="s">
        <v>157</v>
      </c>
    </row>
    <row customHeight="1" ht="11.25">
      <c r="A18" s="382" t="s">
        <v>16</v>
      </c>
      <c r="B18" s="0" t="s">
        <v>3593</v>
      </c>
      <c r="C18" s="0" t="s">
        <v>3594</v>
      </c>
      <c r="D18" s="0" t="s">
        <v>3614</v>
      </c>
      <c r="E18" s="0" t="s">
        <v>3615</v>
      </c>
      <c r="F18" s="0" t="s">
        <v>3584</v>
      </c>
      <c r="G18" s="0" t="s">
        <v>160</v>
      </c>
    </row>
    <row customHeight="1" ht="11.25">
      <c r="A19" s="382" t="s">
        <v>16</v>
      </c>
      <c r="B19" s="0" t="s">
        <v>3593</v>
      </c>
      <c r="C19" s="0" t="s">
        <v>3594</v>
      </c>
      <c r="D19" s="0" t="s">
        <v>3616</v>
      </c>
      <c r="E19" s="0" t="s">
        <v>3617</v>
      </c>
      <c r="F19" s="0" t="s">
        <v>3584</v>
      </c>
      <c r="G19" s="0" t="s">
        <v>163</v>
      </c>
    </row>
    <row customHeight="1" ht="11.25">
      <c r="A20" s="382" t="s">
        <v>16</v>
      </c>
      <c r="B20" s="0" t="s">
        <v>3593</v>
      </c>
      <c r="C20" s="0" t="s">
        <v>3594</v>
      </c>
      <c r="D20" s="0" t="s">
        <v>3618</v>
      </c>
      <c r="E20" s="0" t="s">
        <v>3619</v>
      </c>
      <c r="F20" s="0" t="s">
        <v>3584</v>
      </c>
      <c r="G20" s="0" t="s">
        <v>166</v>
      </c>
    </row>
    <row customHeight="1" ht="11.25">
      <c r="A21" s="382" t="s">
        <v>16</v>
      </c>
      <c r="B21" s="0" t="s">
        <v>3620</v>
      </c>
      <c r="C21" s="0" t="s">
        <v>3621</v>
      </c>
      <c r="D21" s="0" t="s">
        <v>3620</v>
      </c>
      <c r="E21" s="0" t="s">
        <v>3621</v>
      </c>
      <c r="F21" s="0" t="s">
        <v>3581</v>
      </c>
      <c r="G21" s="0" t="s">
        <v>169</v>
      </c>
    </row>
    <row customHeight="1" ht="11.25">
      <c r="A22" s="382" t="s">
        <v>16</v>
      </c>
      <c r="B22" s="0" t="s">
        <v>3620</v>
      </c>
      <c r="C22" s="0" t="s">
        <v>3621</v>
      </c>
      <c r="D22" s="0" t="s">
        <v>3622</v>
      </c>
      <c r="E22" s="0" t="s">
        <v>3623</v>
      </c>
      <c r="F22" s="0" t="s">
        <v>3584</v>
      </c>
      <c r="G22" s="0" t="s">
        <v>172</v>
      </c>
    </row>
    <row customHeight="1" ht="11.25">
      <c r="A23" s="382" t="s">
        <v>16</v>
      </c>
      <c r="B23" s="0" t="s">
        <v>3620</v>
      </c>
      <c r="C23" s="0" t="s">
        <v>3621</v>
      </c>
      <c r="D23" s="0" t="s">
        <v>3624</v>
      </c>
      <c r="E23" s="0" t="s">
        <v>3625</v>
      </c>
      <c r="F23" s="0" t="s">
        <v>3584</v>
      </c>
      <c r="G23" s="0" t="s">
        <v>175</v>
      </c>
    </row>
    <row customHeight="1" ht="11.25">
      <c r="A24" s="382" t="s">
        <v>16</v>
      </c>
      <c r="B24" s="0" t="s">
        <v>3620</v>
      </c>
      <c r="C24" s="0" t="s">
        <v>3621</v>
      </c>
      <c r="D24" s="0" t="s">
        <v>3626</v>
      </c>
      <c r="E24" s="0" t="s">
        <v>3627</v>
      </c>
      <c r="F24" s="0" t="s">
        <v>3584</v>
      </c>
      <c r="G24" s="0" t="s">
        <v>178</v>
      </c>
    </row>
    <row customHeight="1" ht="11.25">
      <c r="A25" s="382" t="s">
        <v>16</v>
      </c>
      <c r="B25" s="0" t="s">
        <v>3620</v>
      </c>
      <c r="C25" s="0" t="s">
        <v>3621</v>
      </c>
      <c r="D25" s="0" t="s">
        <v>3628</v>
      </c>
      <c r="E25" s="0" t="s">
        <v>3629</v>
      </c>
      <c r="F25" s="0" t="s">
        <v>3584</v>
      </c>
      <c r="G25" s="0" t="s">
        <v>181</v>
      </c>
    </row>
    <row customHeight="1" ht="11.25">
      <c r="A26" s="382" t="s">
        <v>16</v>
      </c>
      <c r="B26" s="0" t="s">
        <v>3620</v>
      </c>
      <c r="C26" s="0" t="s">
        <v>3621</v>
      </c>
      <c r="D26" s="0" t="s">
        <v>3630</v>
      </c>
      <c r="E26" s="0" t="s">
        <v>3631</v>
      </c>
      <c r="F26" s="0" t="s">
        <v>3584</v>
      </c>
      <c r="G26" s="0" t="s">
        <v>184</v>
      </c>
    </row>
    <row customHeight="1" ht="11.25">
      <c r="A27" s="382" t="s">
        <v>16</v>
      </c>
      <c r="B27" s="0" t="s">
        <v>3632</v>
      </c>
      <c r="C27" s="0" t="s">
        <v>3633</v>
      </c>
      <c r="D27" s="0" t="s">
        <v>3632</v>
      </c>
      <c r="E27" s="0" t="s">
        <v>3633</v>
      </c>
      <c r="F27" s="0" t="s">
        <v>3581</v>
      </c>
      <c r="G27" s="0" t="s">
        <v>187</v>
      </c>
    </row>
    <row customHeight="1" ht="11.25">
      <c r="A28" s="382" t="s">
        <v>16</v>
      </c>
      <c r="B28" s="0" t="s">
        <v>3632</v>
      </c>
      <c r="C28" s="0" t="s">
        <v>3633</v>
      </c>
      <c r="D28" s="0" t="s">
        <v>3634</v>
      </c>
      <c r="E28" s="0" t="s">
        <v>3635</v>
      </c>
      <c r="F28" s="0" t="s">
        <v>3584</v>
      </c>
      <c r="G28" s="0" t="s">
        <v>190</v>
      </c>
    </row>
    <row customHeight="1" ht="11.25">
      <c r="A29" s="382" t="s">
        <v>16</v>
      </c>
      <c r="B29" s="0" t="s">
        <v>3632</v>
      </c>
      <c r="C29" s="0" t="s">
        <v>3633</v>
      </c>
      <c r="D29" s="0" t="s">
        <v>3636</v>
      </c>
      <c r="E29" s="0" t="s">
        <v>3637</v>
      </c>
      <c r="F29" s="0" t="s">
        <v>3584</v>
      </c>
      <c r="G29" s="0" t="s">
        <v>193</v>
      </c>
    </row>
    <row customHeight="1" ht="11.25">
      <c r="A30" s="382" t="s">
        <v>16</v>
      </c>
      <c r="B30" s="0" t="s">
        <v>3632</v>
      </c>
      <c r="C30" s="0" t="s">
        <v>3633</v>
      </c>
      <c r="D30" s="0" t="s">
        <v>3638</v>
      </c>
      <c r="E30" s="0" t="s">
        <v>3639</v>
      </c>
      <c r="F30" s="0" t="s">
        <v>3584</v>
      </c>
      <c r="G30" s="0" t="s">
        <v>1663</v>
      </c>
    </row>
    <row customHeight="1" ht="11.25">
      <c r="A31" s="382" t="s">
        <v>16</v>
      </c>
      <c r="B31" s="0" t="s">
        <v>3632</v>
      </c>
      <c r="C31" s="0" t="s">
        <v>3633</v>
      </c>
      <c r="D31" s="0" t="s">
        <v>3640</v>
      </c>
      <c r="E31" s="0" t="s">
        <v>3641</v>
      </c>
      <c r="F31" s="0" t="s">
        <v>3584</v>
      </c>
      <c r="G31" s="0" t="s">
        <v>1669</v>
      </c>
    </row>
    <row customHeight="1" ht="11.25">
      <c r="A32" s="382" t="s">
        <v>16</v>
      </c>
      <c r="B32" s="0" t="s">
        <v>3632</v>
      </c>
      <c r="C32" s="0" t="s">
        <v>3633</v>
      </c>
      <c r="D32" s="0" t="s">
        <v>3642</v>
      </c>
      <c r="E32" s="0" t="s">
        <v>3643</v>
      </c>
      <c r="F32" s="0" t="s">
        <v>3584</v>
      </c>
      <c r="G32" s="0" t="s">
        <v>1671</v>
      </c>
    </row>
    <row customHeight="1" ht="11.25">
      <c r="A33" s="382" t="s">
        <v>16</v>
      </c>
      <c r="B33" s="0" t="s">
        <v>3632</v>
      </c>
      <c r="C33" s="0" t="s">
        <v>3633</v>
      </c>
      <c r="D33" s="0" t="s">
        <v>3644</v>
      </c>
      <c r="E33" s="0" t="s">
        <v>3645</v>
      </c>
      <c r="F33" s="0" t="s">
        <v>3584</v>
      </c>
      <c r="G33" s="0" t="s">
        <v>1673</v>
      </c>
    </row>
    <row customHeight="1" ht="11.25">
      <c r="A34" s="382" t="s">
        <v>16</v>
      </c>
      <c r="B34" s="0" t="s">
        <v>3632</v>
      </c>
      <c r="C34" s="0" t="s">
        <v>3633</v>
      </c>
      <c r="D34" s="0" t="s">
        <v>3646</v>
      </c>
      <c r="E34" s="0" t="s">
        <v>3647</v>
      </c>
      <c r="F34" s="0" t="s">
        <v>3584</v>
      </c>
      <c r="G34" s="0" t="s">
        <v>1675</v>
      </c>
    </row>
    <row customHeight="1" ht="11.25">
      <c r="A35" s="382" t="s">
        <v>16</v>
      </c>
      <c r="B35" s="0" t="s">
        <v>3632</v>
      </c>
      <c r="C35" s="0" t="s">
        <v>3633</v>
      </c>
      <c r="D35" s="0" t="s">
        <v>3648</v>
      </c>
      <c r="E35" s="0" t="s">
        <v>3649</v>
      </c>
      <c r="F35" s="0" t="s">
        <v>3584</v>
      </c>
      <c r="G35" s="0" t="s">
        <v>1680</v>
      </c>
    </row>
    <row customHeight="1" ht="11.25">
      <c r="A36" s="382" t="s">
        <v>16</v>
      </c>
      <c r="B36" s="0" t="s">
        <v>3650</v>
      </c>
      <c r="C36" s="0" t="s">
        <v>3651</v>
      </c>
      <c r="D36" s="0" t="s">
        <v>3650</v>
      </c>
      <c r="E36" s="0" t="s">
        <v>3651</v>
      </c>
      <c r="F36" s="0" t="s">
        <v>3581</v>
      </c>
      <c r="G36" s="0" t="s">
        <v>1685</v>
      </c>
    </row>
    <row customHeight="1" ht="11.25">
      <c r="A37" s="382" t="s">
        <v>16</v>
      </c>
      <c r="B37" s="0" t="s">
        <v>3650</v>
      </c>
      <c r="C37" s="0" t="s">
        <v>3651</v>
      </c>
      <c r="D37" s="0" t="s">
        <v>3652</v>
      </c>
      <c r="E37" s="0" t="s">
        <v>3653</v>
      </c>
      <c r="F37" s="0" t="s">
        <v>3584</v>
      </c>
      <c r="G37" s="0" t="s">
        <v>1689</v>
      </c>
    </row>
    <row customHeight="1" ht="11.25">
      <c r="A38" s="382" t="s">
        <v>16</v>
      </c>
      <c r="B38" s="0" t="s">
        <v>3650</v>
      </c>
      <c r="C38" s="0" t="s">
        <v>3651</v>
      </c>
      <c r="D38" s="0" t="s">
        <v>3654</v>
      </c>
      <c r="E38" s="0" t="s">
        <v>3655</v>
      </c>
      <c r="F38" s="0" t="s">
        <v>3584</v>
      </c>
      <c r="G38" s="0" t="s">
        <v>1697</v>
      </c>
    </row>
    <row customHeight="1" ht="11.25">
      <c r="A39" s="382" t="s">
        <v>16</v>
      </c>
      <c r="B39" s="0" t="s">
        <v>3650</v>
      </c>
      <c r="C39" s="0" t="s">
        <v>3651</v>
      </c>
      <c r="D39" s="0" t="s">
        <v>3656</v>
      </c>
      <c r="E39" s="0" t="s">
        <v>3657</v>
      </c>
      <c r="F39" s="0" t="s">
        <v>3584</v>
      </c>
      <c r="G39" s="0" t="s">
        <v>1703</v>
      </c>
    </row>
    <row customHeight="1" ht="11.25">
      <c r="A40" s="382" t="s">
        <v>16</v>
      </c>
      <c r="B40" s="0" t="s">
        <v>3650</v>
      </c>
      <c r="C40" s="0" t="s">
        <v>3651</v>
      </c>
      <c r="D40" s="0" t="s">
        <v>3658</v>
      </c>
      <c r="E40" s="0" t="s">
        <v>3659</v>
      </c>
      <c r="F40" s="0" t="s">
        <v>3584</v>
      </c>
      <c r="G40" s="0" t="s">
        <v>1708</v>
      </c>
    </row>
    <row customHeight="1" ht="11.25">
      <c r="A41" s="382" t="s">
        <v>16</v>
      </c>
      <c r="B41" s="0" t="s">
        <v>3650</v>
      </c>
      <c r="C41" s="0" t="s">
        <v>3651</v>
      </c>
      <c r="D41" s="0" t="s">
        <v>3660</v>
      </c>
      <c r="E41" s="0" t="s">
        <v>3661</v>
      </c>
      <c r="F41" s="0" t="s">
        <v>3584</v>
      </c>
      <c r="G41" s="0" t="s">
        <v>1712</v>
      </c>
    </row>
    <row customHeight="1" ht="11.25">
      <c r="A42" s="382" t="s">
        <v>16</v>
      </c>
      <c r="B42" s="0" t="s">
        <v>3650</v>
      </c>
      <c r="C42" s="0" t="s">
        <v>3651</v>
      </c>
      <c r="D42" s="0" t="s">
        <v>3662</v>
      </c>
      <c r="E42" s="0" t="s">
        <v>3663</v>
      </c>
      <c r="F42" s="0" t="s">
        <v>3584</v>
      </c>
      <c r="G42" s="0" t="s">
        <v>1715</v>
      </c>
    </row>
    <row customHeight="1" ht="11.25">
      <c r="A43" s="382" t="s">
        <v>16</v>
      </c>
      <c r="B43" s="0" t="s">
        <v>3650</v>
      </c>
      <c r="C43" s="0" t="s">
        <v>3651</v>
      </c>
      <c r="D43" s="0" t="s">
        <v>3664</v>
      </c>
      <c r="E43" s="0" t="s">
        <v>3665</v>
      </c>
      <c r="F43" s="0" t="s">
        <v>3584</v>
      </c>
      <c r="G43" s="0" t="s">
        <v>1722</v>
      </c>
    </row>
    <row customHeight="1" ht="11.25">
      <c r="A44" s="382" t="s">
        <v>16</v>
      </c>
      <c r="B44" s="0" t="s">
        <v>3650</v>
      </c>
      <c r="C44" s="0" t="s">
        <v>3651</v>
      </c>
      <c r="D44" s="0" t="s">
        <v>3666</v>
      </c>
      <c r="E44" s="0" t="s">
        <v>3667</v>
      </c>
      <c r="F44" s="0" t="s">
        <v>3584</v>
      </c>
      <c r="G44" s="0" t="s">
        <v>1731</v>
      </c>
    </row>
    <row customHeight="1" ht="11.25">
      <c r="A45" s="382" t="s">
        <v>16</v>
      </c>
      <c r="B45" s="0" t="s">
        <v>3650</v>
      </c>
      <c r="C45" s="0" t="s">
        <v>3651</v>
      </c>
      <c r="D45" s="0" t="s">
        <v>3668</v>
      </c>
      <c r="E45" s="0" t="s">
        <v>3669</v>
      </c>
      <c r="F45" s="0" t="s">
        <v>3584</v>
      </c>
      <c r="G45" s="0" t="s">
        <v>1736</v>
      </c>
    </row>
    <row customHeight="1" ht="11.25">
      <c r="A46" s="382" t="s">
        <v>16</v>
      </c>
      <c r="B46" s="0" t="s">
        <v>3670</v>
      </c>
      <c r="C46" s="0" t="s">
        <v>3671</v>
      </c>
      <c r="D46" s="0" t="s">
        <v>3670</v>
      </c>
      <c r="E46" s="0" t="s">
        <v>3671</v>
      </c>
      <c r="F46" s="0" t="s">
        <v>3581</v>
      </c>
      <c r="G46" s="0" t="s">
        <v>1739</v>
      </c>
    </row>
    <row customHeight="1" ht="11.25">
      <c r="A47" s="382" t="s">
        <v>16</v>
      </c>
      <c r="B47" s="0" t="s">
        <v>3670</v>
      </c>
      <c r="C47" s="0" t="s">
        <v>3671</v>
      </c>
      <c r="D47" s="0" t="s">
        <v>3672</v>
      </c>
      <c r="E47" s="0" t="s">
        <v>3673</v>
      </c>
      <c r="F47" s="0" t="s">
        <v>3584</v>
      </c>
      <c r="G47" s="0" t="s">
        <v>1745</v>
      </c>
    </row>
    <row customHeight="1" ht="11.25">
      <c r="A48" s="382" t="s">
        <v>16</v>
      </c>
      <c r="B48" s="0" t="s">
        <v>3670</v>
      </c>
      <c r="C48" s="0" t="s">
        <v>3671</v>
      </c>
      <c r="D48" s="0" t="s">
        <v>3674</v>
      </c>
      <c r="E48" s="0" t="s">
        <v>3675</v>
      </c>
      <c r="F48" s="0" t="s">
        <v>3584</v>
      </c>
      <c r="G48" s="0" t="s">
        <v>1750</v>
      </c>
    </row>
    <row customHeight="1" ht="11.25">
      <c r="A49" s="382" t="s">
        <v>16</v>
      </c>
      <c r="B49" s="0" t="s">
        <v>3670</v>
      </c>
      <c r="C49" s="0" t="s">
        <v>3671</v>
      </c>
      <c r="D49" s="0" t="s">
        <v>3676</v>
      </c>
      <c r="E49" s="0" t="s">
        <v>3677</v>
      </c>
      <c r="F49" s="0" t="s">
        <v>3584</v>
      </c>
      <c r="G49" s="0" t="s">
        <v>1753</v>
      </c>
    </row>
    <row customHeight="1" ht="11.25">
      <c r="A50" s="382" t="s">
        <v>16</v>
      </c>
      <c r="B50" s="0" t="s">
        <v>3670</v>
      </c>
      <c r="C50" s="0" t="s">
        <v>3671</v>
      </c>
      <c r="D50" s="0" t="s">
        <v>3678</v>
      </c>
      <c r="E50" s="0" t="s">
        <v>3679</v>
      </c>
      <c r="F50" s="0" t="s">
        <v>3584</v>
      </c>
      <c r="G50" s="0" t="s">
        <v>1757</v>
      </c>
    </row>
    <row customHeight="1" ht="11.25">
      <c r="A51" s="382" t="s">
        <v>16</v>
      </c>
      <c r="B51" s="0" t="s">
        <v>3670</v>
      </c>
      <c r="C51" s="0" t="s">
        <v>3671</v>
      </c>
      <c r="D51" s="0" t="s">
        <v>3680</v>
      </c>
      <c r="E51" s="0" t="s">
        <v>3681</v>
      </c>
      <c r="F51" s="0" t="s">
        <v>3584</v>
      </c>
      <c r="G51" s="0" t="s">
        <v>1762</v>
      </c>
    </row>
    <row customHeight="1" ht="11.25">
      <c r="A52" s="382" t="s">
        <v>16</v>
      </c>
      <c r="B52" s="0" t="s">
        <v>3670</v>
      </c>
      <c r="C52" s="0" t="s">
        <v>3671</v>
      </c>
      <c r="D52" s="0" t="s">
        <v>3682</v>
      </c>
      <c r="E52" s="0" t="s">
        <v>3683</v>
      </c>
      <c r="F52" s="0" t="s">
        <v>3584</v>
      </c>
      <c r="G52" s="0" t="s">
        <v>1766</v>
      </c>
    </row>
    <row customHeight="1" ht="11.25">
      <c r="A53" s="382" t="s">
        <v>16</v>
      </c>
      <c r="B53" s="0" t="s">
        <v>3670</v>
      </c>
      <c r="C53" s="0" t="s">
        <v>3671</v>
      </c>
      <c r="D53" s="0" t="s">
        <v>3684</v>
      </c>
      <c r="E53" s="0" t="s">
        <v>3685</v>
      </c>
      <c r="F53" s="0" t="s">
        <v>3584</v>
      </c>
      <c r="G53" s="0" t="s">
        <v>1768</v>
      </c>
    </row>
    <row customHeight="1" ht="11.25">
      <c r="A54" s="382" t="s">
        <v>16</v>
      </c>
      <c r="B54" s="0" t="s">
        <v>3670</v>
      </c>
      <c r="C54" s="0" t="s">
        <v>3671</v>
      </c>
      <c r="D54" s="0" t="s">
        <v>3686</v>
      </c>
      <c r="E54" s="0" t="s">
        <v>3687</v>
      </c>
      <c r="F54" s="0" t="s">
        <v>3584</v>
      </c>
      <c r="G54" s="0" t="s">
        <v>1771</v>
      </c>
    </row>
    <row customHeight="1" ht="11.25">
      <c r="A55" s="382" t="s">
        <v>16</v>
      </c>
      <c r="B55" s="0" t="s">
        <v>3670</v>
      </c>
      <c r="C55" s="0" t="s">
        <v>3671</v>
      </c>
      <c r="D55" s="0" t="s">
        <v>3688</v>
      </c>
      <c r="E55" s="0" t="s">
        <v>3689</v>
      </c>
      <c r="F55" s="0" t="s">
        <v>3584</v>
      </c>
      <c r="G55" s="0" t="s">
        <v>1775</v>
      </c>
    </row>
    <row customHeight="1" ht="11.25">
      <c r="A56" s="382" t="s">
        <v>16</v>
      </c>
      <c r="B56" s="0" t="s">
        <v>3670</v>
      </c>
      <c r="C56" s="0" t="s">
        <v>3671</v>
      </c>
      <c r="D56" s="0" t="s">
        <v>3690</v>
      </c>
      <c r="E56" s="0" t="s">
        <v>3691</v>
      </c>
      <c r="F56" s="0" t="s">
        <v>3584</v>
      </c>
      <c r="G56" s="0" t="s">
        <v>1779</v>
      </c>
    </row>
    <row customHeight="1" ht="11.25">
      <c r="A57" s="382" t="s">
        <v>16</v>
      </c>
      <c r="B57" s="0" t="s">
        <v>3670</v>
      </c>
      <c r="C57" s="0" t="s">
        <v>3671</v>
      </c>
      <c r="D57" s="0" t="s">
        <v>3692</v>
      </c>
      <c r="E57" s="0" t="s">
        <v>3693</v>
      </c>
      <c r="F57" s="0" t="s">
        <v>3584</v>
      </c>
      <c r="G57" s="0" t="s">
        <v>1782</v>
      </c>
    </row>
    <row customHeight="1" ht="11.25">
      <c r="A58" s="382" t="s">
        <v>16</v>
      </c>
      <c r="B58" s="0" t="s">
        <v>3670</v>
      </c>
      <c r="C58" s="0" t="s">
        <v>3671</v>
      </c>
      <c r="D58" s="0" t="s">
        <v>3694</v>
      </c>
      <c r="E58" s="0" t="s">
        <v>3695</v>
      </c>
      <c r="F58" s="0" t="s">
        <v>3584</v>
      </c>
      <c r="G58" s="0" t="s">
        <v>1785</v>
      </c>
    </row>
    <row customHeight="1" ht="11.25">
      <c r="A59" s="382" t="s">
        <v>16</v>
      </c>
      <c r="B59" s="0" t="s">
        <v>3670</v>
      </c>
      <c r="C59" s="0" t="s">
        <v>3671</v>
      </c>
      <c r="D59" s="0" t="s">
        <v>3696</v>
      </c>
      <c r="E59" s="0" t="s">
        <v>3697</v>
      </c>
      <c r="F59" s="0" t="s">
        <v>3584</v>
      </c>
      <c r="G59" s="0" t="s">
        <v>1789</v>
      </c>
    </row>
    <row customHeight="1" ht="11.25">
      <c r="A60" s="382" t="s">
        <v>16</v>
      </c>
      <c r="B60" s="0" t="s">
        <v>3698</v>
      </c>
      <c r="C60" s="0" t="s">
        <v>3699</v>
      </c>
      <c r="D60" s="0" t="s">
        <v>3698</v>
      </c>
      <c r="E60" s="0" t="s">
        <v>3699</v>
      </c>
      <c r="F60" s="0" t="s">
        <v>3581</v>
      </c>
      <c r="G60" s="0" t="s">
        <v>1792</v>
      </c>
    </row>
    <row customHeight="1" ht="11.25">
      <c r="A61" s="382" t="s">
        <v>16</v>
      </c>
      <c r="B61" s="0" t="s">
        <v>3698</v>
      </c>
      <c r="C61" s="0" t="s">
        <v>3699</v>
      </c>
      <c r="D61" s="0" t="s">
        <v>3700</v>
      </c>
      <c r="E61" s="0" t="s">
        <v>3701</v>
      </c>
      <c r="F61" s="0" t="s">
        <v>3597</v>
      </c>
      <c r="G61" s="0" t="s">
        <v>3702</v>
      </c>
    </row>
    <row customHeight="1" ht="11.25">
      <c r="A62" s="382" t="s">
        <v>16</v>
      </c>
      <c r="B62" s="0" t="s">
        <v>3698</v>
      </c>
      <c r="C62" s="0" t="s">
        <v>3699</v>
      </c>
      <c r="D62" s="0" t="s">
        <v>3703</v>
      </c>
      <c r="E62" s="0" t="s">
        <v>3704</v>
      </c>
      <c r="F62" s="0" t="s">
        <v>3597</v>
      </c>
      <c r="G62" s="0" t="s">
        <v>3705</v>
      </c>
    </row>
    <row customHeight="1" ht="11.25">
      <c r="A63" s="382" t="s">
        <v>16</v>
      </c>
      <c r="B63" s="0" t="s">
        <v>3698</v>
      </c>
      <c r="C63" s="0" t="s">
        <v>3699</v>
      </c>
      <c r="D63" s="0" t="s">
        <v>3706</v>
      </c>
      <c r="E63" s="0" t="s">
        <v>3707</v>
      </c>
      <c r="F63" s="0" t="s">
        <v>3597</v>
      </c>
      <c r="G63" s="0" t="s">
        <v>3708</v>
      </c>
    </row>
    <row customHeight="1" ht="11.25">
      <c r="A64" s="382" t="s">
        <v>16</v>
      </c>
      <c r="B64" s="0" t="s">
        <v>3698</v>
      </c>
      <c r="C64" s="0" t="s">
        <v>3699</v>
      </c>
      <c r="D64" s="0" t="s">
        <v>3709</v>
      </c>
      <c r="E64" s="0" t="s">
        <v>3710</v>
      </c>
      <c r="F64" s="0" t="s">
        <v>3584</v>
      </c>
      <c r="G64" s="0" t="s">
        <v>3711</v>
      </c>
    </row>
    <row customHeight="1" ht="11.25">
      <c r="A65" s="382" t="s">
        <v>16</v>
      </c>
      <c r="B65" s="0" t="s">
        <v>3698</v>
      </c>
      <c r="C65" s="0" t="s">
        <v>3699</v>
      </c>
      <c r="D65" s="0" t="s">
        <v>3712</v>
      </c>
      <c r="E65" s="0" t="s">
        <v>3713</v>
      </c>
      <c r="F65" s="0" t="s">
        <v>3584</v>
      </c>
      <c r="G65" s="0" t="s">
        <v>3714</v>
      </c>
    </row>
    <row customHeight="1" ht="11.25">
      <c r="A66" s="382" t="s">
        <v>16</v>
      </c>
      <c r="B66" s="0" t="s">
        <v>3698</v>
      </c>
      <c r="C66" s="0" t="s">
        <v>3699</v>
      </c>
      <c r="D66" s="0" t="s">
        <v>3715</v>
      </c>
      <c r="E66" s="0" t="s">
        <v>3716</v>
      </c>
      <c r="F66" s="0" t="s">
        <v>3584</v>
      </c>
      <c r="G66" s="0" t="s">
        <v>3717</v>
      </c>
    </row>
    <row customHeight="1" ht="11.25">
      <c r="A67" s="382" t="s">
        <v>16</v>
      </c>
      <c r="B67" s="0" t="s">
        <v>3698</v>
      </c>
      <c r="C67" s="0" t="s">
        <v>3699</v>
      </c>
      <c r="D67" s="0" t="s">
        <v>3718</v>
      </c>
      <c r="E67" s="0" t="s">
        <v>3719</v>
      </c>
      <c r="F67" s="0" t="s">
        <v>3584</v>
      </c>
      <c r="G67" s="0" t="s">
        <v>2109</v>
      </c>
    </row>
    <row customHeight="1" ht="11.25">
      <c r="A68" s="382" t="s">
        <v>16</v>
      </c>
      <c r="B68" s="0" t="s">
        <v>3698</v>
      </c>
      <c r="C68" s="0" t="s">
        <v>3699</v>
      </c>
      <c r="D68" s="0" t="s">
        <v>3720</v>
      </c>
      <c r="E68" s="0" t="s">
        <v>3721</v>
      </c>
      <c r="F68" s="0" t="s">
        <v>3584</v>
      </c>
      <c r="G68" s="0" t="s">
        <v>3722</v>
      </c>
    </row>
    <row customHeight="1" ht="11.25">
      <c r="A69" s="382" t="s">
        <v>16</v>
      </c>
      <c r="B69" s="0" t="s">
        <v>3698</v>
      </c>
      <c r="C69" s="0" t="s">
        <v>3699</v>
      </c>
      <c r="D69" s="0" t="s">
        <v>3723</v>
      </c>
      <c r="E69" s="0" t="s">
        <v>3724</v>
      </c>
      <c r="F69" s="0" t="s">
        <v>3584</v>
      </c>
      <c r="G69" s="0" t="s">
        <v>2312</v>
      </c>
    </row>
    <row customHeight="1" ht="11.25">
      <c r="A70" s="382" t="s">
        <v>16</v>
      </c>
      <c r="B70" s="0" t="s">
        <v>3698</v>
      </c>
      <c r="C70" s="0" t="s">
        <v>3699</v>
      </c>
      <c r="D70" s="0" t="s">
        <v>3725</v>
      </c>
      <c r="E70" s="0" t="s">
        <v>3726</v>
      </c>
      <c r="F70" s="0" t="s">
        <v>3584</v>
      </c>
      <c r="G70" s="0" t="s">
        <v>3727</v>
      </c>
    </row>
    <row customHeight="1" ht="11.25">
      <c r="A71" s="382" t="s">
        <v>16</v>
      </c>
      <c r="B71" s="0" t="s">
        <v>3698</v>
      </c>
      <c r="C71" s="0" t="s">
        <v>3699</v>
      </c>
      <c r="D71" s="0" t="s">
        <v>3728</v>
      </c>
      <c r="E71" s="0" t="s">
        <v>3729</v>
      </c>
      <c r="F71" s="0" t="s">
        <v>3584</v>
      </c>
      <c r="G71" s="0" t="s">
        <v>3730</v>
      </c>
    </row>
    <row customHeight="1" ht="11.25">
      <c r="A72" s="382" t="s">
        <v>16</v>
      </c>
      <c r="B72" s="0" t="s">
        <v>3698</v>
      </c>
      <c r="C72" s="0" t="s">
        <v>3699</v>
      </c>
      <c r="D72" s="0" t="s">
        <v>3731</v>
      </c>
      <c r="E72" s="0" t="s">
        <v>3732</v>
      </c>
      <c r="F72" s="0" t="s">
        <v>3584</v>
      </c>
      <c r="G72" s="0" t="s">
        <v>3733</v>
      </c>
    </row>
    <row customHeight="1" ht="11.25">
      <c r="A73" s="382" t="s">
        <v>16</v>
      </c>
      <c r="B73" s="0" t="s">
        <v>3698</v>
      </c>
      <c r="C73" s="0" t="s">
        <v>3699</v>
      </c>
      <c r="D73" s="0" t="s">
        <v>3734</v>
      </c>
      <c r="E73" s="0" t="s">
        <v>3735</v>
      </c>
      <c r="F73" s="0" t="s">
        <v>3584</v>
      </c>
      <c r="G73" s="0" t="s">
        <v>3736</v>
      </c>
    </row>
    <row customHeight="1" ht="11.25">
      <c r="A74" s="382" t="s">
        <v>16</v>
      </c>
      <c r="B74" s="0" t="s">
        <v>3698</v>
      </c>
      <c r="C74" s="0" t="s">
        <v>3699</v>
      </c>
      <c r="D74" s="0" t="s">
        <v>3737</v>
      </c>
      <c r="E74" s="0" t="s">
        <v>3738</v>
      </c>
      <c r="F74" s="0" t="s">
        <v>3584</v>
      </c>
      <c r="G74" s="0" t="s">
        <v>3739</v>
      </c>
    </row>
    <row customHeight="1" ht="11.25">
      <c r="A75" s="382" t="s">
        <v>16</v>
      </c>
      <c r="B75" s="0" t="s">
        <v>3698</v>
      </c>
      <c r="C75" s="0" t="s">
        <v>3699</v>
      </c>
      <c r="D75" s="0" t="s">
        <v>3740</v>
      </c>
      <c r="E75" s="0" t="s">
        <v>3741</v>
      </c>
      <c r="F75" s="0" t="s">
        <v>3584</v>
      </c>
      <c r="G75" s="0" t="s">
        <v>3742</v>
      </c>
    </row>
    <row customHeight="1" ht="11.25">
      <c r="A76" s="382" t="s">
        <v>16</v>
      </c>
      <c r="B76" s="0" t="s">
        <v>3743</v>
      </c>
      <c r="C76" s="0" t="s">
        <v>3744</v>
      </c>
      <c r="D76" s="0" t="s">
        <v>3743</v>
      </c>
      <c r="E76" s="0" t="s">
        <v>3744</v>
      </c>
      <c r="F76" s="0" t="s">
        <v>3581</v>
      </c>
      <c r="G76" s="0" t="s">
        <v>3745</v>
      </c>
    </row>
    <row customHeight="1" ht="11.25">
      <c r="A77" s="382" t="s">
        <v>16</v>
      </c>
      <c r="B77" s="0" t="s">
        <v>3743</v>
      </c>
      <c r="C77" s="0" t="s">
        <v>3744</v>
      </c>
      <c r="D77" s="0" t="s">
        <v>3746</v>
      </c>
      <c r="E77" s="0" t="s">
        <v>3747</v>
      </c>
      <c r="F77" s="0" t="s">
        <v>3584</v>
      </c>
      <c r="G77" s="0" t="s">
        <v>3748</v>
      </c>
    </row>
    <row customHeight="1" ht="11.25">
      <c r="A78" s="382" t="s">
        <v>16</v>
      </c>
      <c r="B78" s="0" t="s">
        <v>3743</v>
      </c>
      <c r="C78" s="0" t="s">
        <v>3744</v>
      </c>
      <c r="D78" s="0" t="s">
        <v>3749</v>
      </c>
      <c r="E78" s="0" t="s">
        <v>3750</v>
      </c>
      <c r="F78" s="0" t="s">
        <v>3584</v>
      </c>
      <c r="G78" s="0" t="s">
        <v>3751</v>
      </c>
    </row>
    <row customHeight="1" ht="11.25">
      <c r="A79" s="382" t="s">
        <v>16</v>
      </c>
      <c r="B79" s="0" t="s">
        <v>3743</v>
      </c>
      <c r="C79" s="0" t="s">
        <v>3744</v>
      </c>
      <c r="D79" s="0" t="s">
        <v>3752</v>
      </c>
      <c r="E79" s="0" t="s">
        <v>3753</v>
      </c>
      <c r="F79" s="0" t="s">
        <v>3584</v>
      </c>
      <c r="G79" s="0" t="s">
        <v>3754</v>
      </c>
    </row>
    <row customHeight="1" ht="11.25">
      <c r="A80" s="382" t="s">
        <v>16</v>
      </c>
      <c r="B80" s="0" t="s">
        <v>3743</v>
      </c>
      <c r="C80" s="0" t="s">
        <v>3744</v>
      </c>
      <c r="D80" s="0" t="s">
        <v>3755</v>
      </c>
      <c r="E80" s="0" t="s">
        <v>3756</v>
      </c>
      <c r="F80" s="0" t="s">
        <v>3584</v>
      </c>
      <c r="G80" s="0" t="s">
        <v>3757</v>
      </c>
    </row>
    <row customHeight="1" ht="11.25">
      <c r="A81" s="382" t="s">
        <v>16</v>
      </c>
      <c r="B81" s="0" t="s">
        <v>3743</v>
      </c>
      <c r="C81" s="0" t="s">
        <v>3744</v>
      </c>
      <c r="D81" s="0" t="s">
        <v>3758</v>
      </c>
      <c r="E81" s="0" t="s">
        <v>3759</v>
      </c>
      <c r="F81" s="0" t="s">
        <v>3584</v>
      </c>
      <c r="G81" s="0" t="s">
        <v>3760</v>
      </c>
    </row>
    <row customHeight="1" ht="11.25">
      <c r="A82" s="382" t="s">
        <v>16</v>
      </c>
      <c r="B82" s="0" t="s">
        <v>3743</v>
      </c>
      <c r="C82" s="0" t="s">
        <v>3744</v>
      </c>
      <c r="D82" s="0" t="s">
        <v>3761</v>
      </c>
      <c r="E82" s="0" t="s">
        <v>3762</v>
      </c>
      <c r="F82" s="0" t="s">
        <v>3584</v>
      </c>
      <c r="G82" s="0" t="s">
        <v>3763</v>
      </c>
    </row>
    <row customHeight="1" ht="11.25">
      <c r="A83" s="382" t="s">
        <v>16</v>
      </c>
      <c r="B83" s="0" t="s">
        <v>3743</v>
      </c>
      <c r="C83" s="0" t="s">
        <v>3744</v>
      </c>
      <c r="D83" s="0" t="s">
        <v>3764</v>
      </c>
      <c r="E83" s="0" t="s">
        <v>3765</v>
      </c>
      <c r="F83" s="0" t="s">
        <v>3584</v>
      </c>
      <c r="G83" s="0" t="s">
        <v>3766</v>
      </c>
    </row>
    <row customHeight="1" ht="11.25">
      <c r="A84" s="382" t="s">
        <v>16</v>
      </c>
      <c r="B84" s="0" t="s">
        <v>3767</v>
      </c>
      <c r="C84" s="0" t="s">
        <v>3768</v>
      </c>
      <c r="D84" s="0" t="s">
        <v>3767</v>
      </c>
      <c r="E84" s="0" t="s">
        <v>3768</v>
      </c>
      <c r="F84" s="0" t="s">
        <v>3581</v>
      </c>
      <c r="G84" s="0" t="s">
        <v>3769</v>
      </c>
    </row>
    <row customHeight="1" ht="11.25">
      <c r="A85" s="382" t="s">
        <v>16</v>
      </c>
      <c r="B85" s="0" t="s">
        <v>3767</v>
      </c>
      <c r="C85" s="0" t="s">
        <v>3768</v>
      </c>
      <c r="D85" s="0" t="s">
        <v>3770</v>
      </c>
      <c r="E85" s="0" t="s">
        <v>3771</v>
      </c>
      <c r="F85" s="0" t="s">
        <v>3584</v>
      </c>
      <c r="G85" s="0" t="s">
        <v>3772</v>
      </c>
    </row>
    <row customHeight="1" ht="11.25">
      <c r="A86" s="382" t="s">
        <v>16</v>
      </c>
      <c r="B86" s="0" t="s">
        <v>3767</v>
      </c>
      <c r="C86" s="0" t="s">
        <v>3768</v>
      </c>
      <c r="D86" s="0" t="s">
        <v>3773</v>
      </c>
      <c r="E86" s="0" t="s">
        <v>3774</v>
      </c>
      <c r="F86" s="0" t="s">
        <v>3584</v>
      </c>
      <c r="G86" s="0" t="s">
        <v>3775</v>
      </c>
    </row>
    <row customHeight="1" ht="11.25">
      <c r="A87" s="382" t="s">
        <v>16</v>
      </c>
      <c r="B87" s="0" t="s">
        <v>3767</v>
      </c>
      <c r="C87" s="0" t="s">
        <v>3768</v>
      </c>
      <c r="D87" s="0" t="s">
        <v>3776</v>
      </c>
      <c r="E87" s="0" t="s">
        <v>3777</v>
      </c>
      <c r="F87" s="0" t="s">
        <v>3584</v>
      </c>
      <c r="G87" s="0" t="s">
        <v>3778</v>
      </c>
    </row>
    <row customHeight="1" ht="11.25">
      <c r="A88" s="382" t="s">
        <v>16</v>
      </c>
      <c r="B88" s="0" t="s">
        <v>3767</v>
      </c>
      <c r="C88" s="0" t="s">
        <v>3768</v>
      </c>
      <c r="D88" s="0" t="s">
        <v>3779</v>
      </c>
      <c r="E88" s="0" t="s">
        <v>3780</v>
      </c>
      <c r="F88" s="0" t="s">
        <v>3584</v>
      </c>
      <c r="G88" s="0" t="s">
        <v>3781</v>
      </c>
    </row>
    <row customHeight="1" ht="11.25">
      <c r="A89" s="382" t="s">
        <v>16</v>
      </c>
      <c r="B89" s="0" t="s">
        <v>3767</v>
      </c>
      <c r="C89" s="0" t="s">
        <v>3768</v>
      </c>
      <c r="D89" s="0" t="s">
        <v>3782</v>
      </c>
      <c r="E89" s="0" t="s">
        <v>3783</v>
      </c>
      <c r="F89" s="0" t="s">
        <v>3584</v>
      </c>
      <c r="G89" s="0" t="s">
        <v>3784</v>
      </c>
    </row>
    <row customHeight="1" ht="11.25">
      <c r="A90" s="382" t="s">
        <v>16</v>
      </c>
      <c r="B90" s="0" t="s">
        <v>3767</v>
      </c>
      <c r="C90" s="0" t="s">
        <v>3768</v>
      </c>
      <c r="D90" s="0" t="s">
        <v>3785</v>
      </c>
      <c r="E90" s="0" t="s">
        <v>3786</v>
      </c>
      <c r="F90" s="0" t="s">
        <v>3584</v>
      </c>
      <c r="G90" s="0" t="s">
        <v>3787</v>
      </c>
    </row>
    <row customHeight="1" ht="11.25">
      <c r="A91" s="382" t="s">
        <v>16</v>
      </c>
      <c r="B91" s="0" t="s">
        <v>3767</v>
      </c>
      <c r="C91" s="0" t="s">
        <v>3768</v>
      </c>
      <c r="D91" s="0" t="s">
        <v>3788</v>
      </c>
      <c r="E91" s="0" t="s">
        <v>3789</v>
      </c>
      <c r="F91" s="0" t="s">
        <v>3584</v>
      </c>
      <c r="G91" s="0" t="s">
        <v>3790</v>
      </c>
    </row>
    <row customHeight="1" ht="11.25">
      <c r="A92" s="382" t="s">
        <v>16</v>
      </c>
      <c r="B92" s="0" t="s">
        <v>3767</v>
      </c>
      <c r="C92" s="0" t="s">
        <v>3768</v>
      </c>
      <c r="D92" s="0" t="s">
        <v>3791</v>
      </c>
      <c r="E92" s="0" t="s">
        <v>3792</v>
      </c>
      <c r="F92" s="0" t="s">
        <v>3584</v>
      </c>
      <c r="G92" s="0" t="s">
        <v>3793</v>
      </c>
    </row>
    <row customHeight="1" ht="11.25">
      <c r="A93" s="382" t="s">
        <v>16</v>
      </c>
      <c r="B93" s="0" t="s">
        <v>3794</v>
      </c>
      <c r="C93" s="0" t="s">
        <v>3795</v>
      </c>
      <c r="D93" s="0" t="s">
        <v>3794</v>
      </c>
      <c r="E93" s="0" t="s">
        <v>3795</v>
      </c>
      <c r="F93" s="0" t="s">
        <v>3581</v>
      </c>
      <c r="G93" s="0" t="s">
        <v>3796</v>
      </c>
    </row>
    <row customHeight="1" ht="11.25">
      <c r="A94" s="382" t="s">
        <v>16</v>
      </c>
      <c r="B94" s="0" t="s">
        <v>3794</v>
      </c>
      <c r="C94" s="0" t="s">
        <v>3795</v>
      </c>
      <c r="D94" s="0" t="s">
        <v>3797</v>
      </c>
      <c r="E94" s="0" t="s">
        <v>3798</v>
      </c>
      <c r="F94" s="0" t="s">
        <v>3584</v>
      </c>
      <c r="G94" s="0" t="s">
        <v>3799</v>
      </c>
    </row>
    <row customHeight="1" ht="11.25">
      <c r="A95" s="382" t="s">
        <v>16</v>
      </c>
      <c r="B95" s="0" t="s">
        <v>3794</v>
      </c>
      <c r="C95" s="0" t="s">
        <v>3795</v>
      </c>
      <c r="D95" s="0" t="s">
        <v>3800</v>
      </c>
      <c r="E95" s="0" t="s">
        <v>3801</v>
      </c>
      <c r="F95" s="0" t="s">
        <v>3584</v>
      </c>
      <c r="G95" s="0" t="s">
        <v>3802</v>
      </c>
    </row>
    <row customHeight="1" ht="11.25">
      <c r="A96" s="382" t="s">
        <v>16</v>
      </c>
      <c r="B96" s="0" t="s">
        <v>3794</v>
      </c>
      <c r="C96" s="0" t="s">
        <v>3795</v>
      </c>
      <c r="D96" s="0" t="s">
        <v>3803</v>
      </c>
      <c r="E96" s="0" t="s">
        <v>3804</v>
      </c>
      <c r="F96" s="0" t="s">
        <v>3584</v>
      </c>
      <c r="G96" s="0" t="s">
        <v>3805</v>
      </c>
    </row>
    <row customHeight="1" ht="11.25">
      <c r="A97" s="382" t="s">
        <v>16</v>
      </c>
      <c r="B97" s="0" t="s">
        <v>3794</v>
      </c>
      <c r="C97" s="0" t="s">
        <v>3795</v>
      </c>
      <c r="D97" s="0" t="s">
        <v>3806</v>
      </c>
      <c r="E97" s="0" t="s">
        <v>3807</v>
      </c>
      <c r="F97" s="0" t="s">
        <v>3584</v>
      </c>
      <c r="G97" s="0" t="s">
        <v>3808</v>
      </c>
    </row>
    <row customHeight="1" ht="11.25">
      <c r="A98" s="382" t="s">
        <v>16</v>
      </c>
      <c r="B98" s="0" t="s">
        <v>3794</v>
      </c>
      <c r="C98" s="0" t="s">
        <v>3795</v>
      </c>
      <c r="D98" s="0" t="s">
        <v>3809</v>
      </c>
      <c r="E98" s="0" t="s">
        <v>3810</v>
      </c>
      <c r="F98" s="0" t="s">
        <v>3584</v>
      </c>
      <c r="G98" s="0" t="s">
        <v>3811</v>
      </c>
    </row>
    <row customHeight="1" ht="11.25">
      <c r="A99" s="382" t="s">
        <v>16</v>
      </c>
      <c r="B99" s="0" t="s">
        <v>3794</v>
      </c>
      <c r="C99" s="0" t="s">
        <v>3795</v>
      </c>
      <c r="D99" s="0" t="s">
        <v>3812</v>
      </c>
      <c r="E99" s="0" t="s">
        <v>3813</v>
      </c>
      <c r="F99" s="0" t="s">
        <v>3584</v>
      </c>
      <c r="G99" s="0" t="s">
        <v>3814</v>
      </c>
    </row>
    <row customHeight="1" ht="11.25">
      <c r="A100" s="382" t="s">
        <v>16</v>
      </c>
      <c r="B100" s="0" t="s">
        <v>3815</v>
      </c>
      <c r="C100" s="0" t="s">
        <v>3816</v>
      </c>
      <c r="D100" s="0" t="s">
        <v>3815</v>
      </c>
      <c r="E100" s="0" t="s">
        <v>3816</v>
      </c>
      <c r="F100" s="0" t="s">
        <v>3581</v>
      </c>
      <c r="G100" s="0" t="s">
        <v>3817</v>
      </c>
    </row>
    <row customHeight="1" ht="11.25">
      <c r="A101" s="382" t="s">
        <v>16</v>
      </c>
      <c r="B101" s="0" t="s">
        <v>3815</v>
      </c>
      <c r="C101" s="0" t="s">
        <v>3816</v>
      </c>
      <c r="D101" s="0" t="s">
        <v>3818</v>
      </c>
      <c r="E101" s="0" t="s">
        <v>3819</v>
      </c>
      <c r="F101" s="0" t="s">
        <v>3820</v>
      </c>
      <c r="G101" s="0" t="s">
        <v>3821</v>
      </c>
    </row>
    <row customHeight="1" ht="11.25">
      <c r="A102" s="382" t="s">
        <v>16</v>
      </c>
      <c r="B102" s="0" t="s">
        <v>3815</v>
      </c>
      <c r="C102" s="0" t="s">
        <v>3816</v>
      </c>
      <c r="D102" s="0" t="s">
        <v>3634</v>
      </c>
      <c r="E102" s="0" t="s">
        <v>3822</v>
      </c>
      <c r="F102" s="0" t="s">
        <v>3584</v>
      </c>
      <c r="G102" s="0" t="s">
        <v>3823</v>
      </c>
    </row>
    <row customHeight="1" ht="11.25">
      <c r="A103" s="382" t="s">
        <v>16</v>
      </c>
      <c r="B103" s="0" t="s">
        <v>3815</v>
      </c>
      <c r="C103" s="0" t="s">
        <v>3816</v>
      </c>
      <c r="D103" s="0" t="s">
        <v>3824</v>
      </c>
      <c r="E103" s="0" t="s">
        <v>3825</v>
      </c>
      <c r="F103" s="0" t="s">
        <v>3584</v>
      </c>
      <c r="G103" s="0" t="s">
        <v>3826</v>
      </c>
    </row>
    <row customHeight="1" ht="11.25">
      <c r="A104" s="382" t="s">
        <v>16</v>
      </c>
      <c r="B104" s="0" t="s">
        <v>3815</v>
      </c>
      <c r="C104" s="0" t="s">
        <v>3816</v>
      </c>
      <c r="D104" s="0" t="s">
        <v>3827</v>
      </c>
      <c r="E104" s="0" t="s">
        <v>3828</v>
      </c>
      <c r="F104" s="0" t="s">
        <v>3584</v>
      </c>
      <c r="G104" s="0" t="s">
        <v>3829</v>
      </c>
    </row>
    <row customHeight="1" ht="11.25">
      <c r="A105" s="382" t="s">
        <v>16</v>
      </c>
      <c r="B105" s="0" t="s">
        <v>3815</v>
      </c>
      <c r="C105" s="0" t="s">
        <v>3816</v>
      </c>
      <c r="D105" s="0" t="s">
        <v>3830</v>
      </c>
      <c r="E105" s="0" t="s">
        <v>3831</v>
      </c>
      <c r="F105" s="0" t="s">
        <v>3584</v>
      </c>
      <c r="G105" s="0" t="s">
        <v>3832</v>
      </c>
    </row>
    <row customHeight="1" ht="11.25">
      <c r="A106" s="382" t="s">
        <v>16</v>
      </c>
      <c r="B106" s="0" t="s">
        <v>3815</v>
      </c>
      <c r="C106" s="0" t="s">
        <v>3816</v>
      </c>
      <c r="D106" s="0" t="s">
        <v>3833</v>
      </c>
      <c r="E106" s="0" t="s">
        <v>3834</v>
      </c>
      <c r="F106" s="0" t="s">
        <v>3584</v>
      </c>
      <c r="G106" s="0" t="s">
        <v>3835</v>
      </c>
    </row>
    <row customHeight="1" ht="11.25">
      <c r="A107" s="382" t="s">
        <v>16</v>
      </c>
      <c r="B107" s="0" t="s">
        <v>3815</v>
      </c>
      <c r="C107" s="0" t="s">
        <v>3816</v>
      </c>
      <c r="D107" s="0" t="s">
        <v>3836</v>
      </c>
      <c r="E107" s="0" t="s">
        <v>3837</v>
      </c>
      <c r="F107" s="0" t="s">
        <v>3584</v>
      </c>
      <c r="G107" s="0" t="s">
        <v>3838</v>
      </c>
    </row>
    <row customHeight="1" ht="11.25">
      <c r="A108" s="382" t="s">
        <v>16</v>
      </c>
      <c r="B108" s="0" t="s">
        <v>3815</v>
      </c>
      <c r="C108" s="0" t="s">
        <v>3816</v>
      </c>
      <c r="D108" s="0" t="s">
        <v>3839</v>
      </c>
      <c r="E108" s="0" t="s">
        <v>3840</v>
      </c>
      <c r="F108" s="0" t="s">
        <v>3584</v>
      </c>
      <c r="G108" s="0" t="s">
        <v>3841</v>
      </c>
    </row>
    <row customHeight="1" ht="11.25">
      <c r="A109" s="382" t="s">
        <v>16</v>
      </c>
      <c r="B109" s="0" t="s">
        <v>3815</v>
      </c>
      <c r="C109" s="0" t="s">
        <v>3816</v>
      </c>
      <c r="D109" s="0" t="s">
        <v>3842</v>
      </c>
      <c r="E109" s="0" t="s">
        <v>3843</v>
      </c>
      <c r="F109" s="0" t="s">
        <v>3584</v>
      </c>
      <c r="G109" s="0" t="s">
        <v>3844</v>
      </c>
    </row>
    <row customHeight="1" ht="11.25">
      <c r="A110" s="382" t="s">
        <v>16</v>
      </c>
      <c r="B110" s="0" t="s">
        <v>3815</v>
      </c>
      <c r="C110" s="0" t="s">
        <v>3816</v>
      </c>
      <c r="D110" s="0" t="s">
        <v>3845</v>
      </c>
      <c r="E110" s="0" t="s">
        <v>3846</v>
      </c>
      <c r="F110" s="0" t="s">
        <v>3584</v>
      </c>
      <c r="G110" s="0" t="s">
        <v>3847</v>
      </c>
    </row>
    <row customHeight="1" ht="11.25">
      <c r="A111" s="382" t="s">
        <v>16</v>
      </c>
      <c r="B111" s="0" t="s">
        <v>3815</v>
      </c>
      <c r="C111" s="0" t="s">
        <v>3816</v>
      </c>
      <c r="D111" s="0" t="s">
        <v>3690</v>
      </c>
      <c r="E111" s="0" t="s">
        <v>3848</v>
      </c>
      <c r="F111" s="0" t="s">
        <v>3584</v>
      </c>
      <c r="G111" s="0" t="s">
        <v>3849</v>
      </c>
    </row>
    <row customHeight="1" ht="11.25">
      <c r="A112" s="382" t="s">
        <v>16</v>
      </c>
      <c r="B112" s="0" t="s">
        <v>3815</v>
      </c>
      <c r="C112" s="0" t="s">
        <v>3816</v>
      </c>
      <c r="D112" s="0" t="s">
        <v>3850</v>
      </c>
      <c r="E112" s="0" t="s">
        <v>3851</v>
      </c>
      <c r="F112" s="0" t="s">
        <v>3584</v>
      </c>
      <c r="G112" s="0" t="s">
        <v>689</v>
      </c>
    </row>
    <row customHeight="1" ht="11.25">
      <c r="A113" s="382" t="s">
        <v>16</v>
      </c>
      <c r="B113" s="0" t="s">
        <v>3815</v>
      </c>
      <c r="C113" s="0" t="s">
        <v>3816</v>
      </c>
      <c r="D113" s="0" t="s">
        <v>3852</v>
      </c>
      <c r="E113" s="0" t="s">
        <v>3853</v>
      </c>
      <c r="F113" s="0" t="s">
        <v>3584</v>
      </c>
      <c r="G113" s="0" t="s">
        <v>3854</v>
      </c>
    </row>
    <row customHeight="1" ht="11.25">
      <c r="A114" s="382" t="s">
        <v>16</v>
      </c>
      <c r="B114" s="0" t="s">
        <v>3815</v>
      </c>
      <c r="C114" s="0" t="s">
        <v>3816</v>
      </c>
      <c r="D114" s="0" t="s">
        <v>3855</v>
      </c>
      <c r="E114" s="0" t="s">
        <v>3856</v>
      </c>
      <c r="F114" s="0" t="s">
        <v>3584</v>
      </c>
      <c r="G114" s="0" t="s">
        <v>3857</v>
      </c>
    </row>
    <row customHeight="1" ht="11.25">
      <c r="A115" s="382" t="s">
        <v>16</v>
      </c>
      <c r="B115" s="0" t="s">
        <v>3858</v>
      </c>
      <c r="C115" s="0" t="s">
        <v>3859</v>
      </c>
      <c r="D115" s="0" t="s">
        <v>3858</v>
      </c>
      <c r="E115" s="0" t="s">
        <v>3859</v>
      </c>
      <c r="F115" s="0" t="s">
        <v>3581</v>
      </c>
      <c r="G115" s="0" t="s">
        <v>3860</v>
      </c>
    </row>
    <row customHeight="1" ht="11.25">
      <c r="A116" s="382" t="s">
        <v>16</v>
      </c>
      <c r="B116" s="0" t="s">
        <v>3858</v>
      </c>
      <c r="C116" s="0" t="s">
        <v>3859</v>
      </c>
      <c r="D116" s="0" t="s">
        <v>3861</v>
      </c>
      <c r="E116" s="0" t="s">
        <v>3862</v>
      </c>
      <c r="F116" s="0" t="s">
        <v>3584</v>
      </c>
      <c r="G116" s="0" t="s">
        <v>3863</v>
      </c>
    </row>
    <row customHeight="1" ht="11.25">
      <c r="A117" s="382" t="s">
        <v>16</v>
      </c>
      <c r="B117" s="0" t="s">
        <v>3858</v>
      </c>
      <c r="C117" s="0" t="s">
        <v>3859</v>
      </c>
      <c r="D117" s="0" t="s">
        <v>3864</v>
      </c>
      <c r="E117" s="0" t="s">
        <v>3865</v>
      </c>
      <c r="F117" s="0" t="s">
        <v>3584</v>
      </c>
      <c r="G117" s="0" t="s">
        <v>3866</v>
      </c>
    </row>
    <row customHeight="1" ht="11.25">
      <c r="A118" s="382" t="s">
        <v>16</v>
      </c>
      <c r="B118" s="0" t="s">
        <v>3858</v>
      </c>
      <c r="C118" s="0" t="s">
        <v>3859</v>
      </c>
      <c r="D118" s="0" t="s">
        <v>3867</v>
      </c>
      <c r="E118" s="0" t="s">
        <v>3868</v>
      </c>
      <c r="F118" s="0" t="s">
        <v>3584</v>
      </c>
      <c r="G118" s="0" t="s">
        <v>3869</v>
      </c>
    </row>
    <row customHeight="1" ht="11.25">
      <c r="A119" s="382" t="s">
        <v>16</v>
      </c>
      <c r="B119" s="0" t="s">
        <v>3858</v>
      </c>
      <c r="C119" s="0" t="s">
        <v>3859</v>
      </c>
      <c r="D119" s="0" t="s">
        <v>3870</v>
      </c>
      <c r="E119" s="0" t="s">
        <v>3871</v>
      </c>
      <c r="F119" s="0" t="s">
        <v>3584</v>
      </c>
      <c r="G119" s="0" t="s">
        <v>3872</v>
      </c>
    </row>
    <row customHeight="1" ht="11.25">
      <c r="A120" s="382" t="s">
        <v>16</v>
      </c>
      <c r="B120" s="0" t="s">
        <v>3858</v>
      </c>
      <c r="C120" s="0" t="s">
        <v>3859</v>
      </c>
      <c r="D120" s="0" t="s">
        <v>3873</v>
      </c>
      <c r="E120" s="0" t="s">
        <v>3874</v>
      </c>
      <c r="F120" s="0" t="s">
        <v>3584</v>
      </c>
      <c r="G120" s="0" t="s">
        <v>3875</v>
      </c>
    </row>
    <row customHeight="1" ht="11.25">
      <c r="A121" s="382" t="s">
        <v>16</v>
      </c>
      <c r="B121" s="0" t="s">
        <v>3858</v>
      </c>
      <c r="C121" s="0" t="s">
        <v>3859</v>
      </c>
      <c r="D121" s="0" t="s">
        <v>3876</v>
      </c>
      <c r="E121" s="0" t="s">
        <v>3877</v>
      </c>
      <c r="F121" s="0" t="s">
        <v>3584</v>
      </c>
      <c r="G121" s="0" t="s">
        <v>3878</v>
      </c>
    </row>
    <row customHeight="1" ht="11.25">
      <c r="A122" s="382" t="s">
        <v>16</v>
      </c>
      <c r="B122" s="0" t="s">
        <v>3858</v>
      </c>
      <c r="C122" s="0" t="s">
        <v>3859</v>
      </c>
      <c r="D122" s="0" t="s">
        <v>3879</v>
      </c>
      <c r="E122" s="0" t="s">
        <v>3880</v>
      </c>
      <c r="F122" s="0" t="s">
        <v>3584</v>
      </c>
      <c r="G122" s="0" t="s">
        <v>3881</v>
      </c>
    </row>
    <row customHeight="1" ht="11.25">
      <c r="A123" s="382" t="s">
        <v>16</v>
      </c>
      <c r="B123" s="0" t="s">
        <v>3858</v>
      </c>
      <c r="C123" s="0" t="s">
        <v>3859</v>
      </c>
      <c r="D123" s="0" t="s">
        <v>3882</v>
      </c>
      <c r="E123" s="0" t="s">
        <v>3883</v>
      </c>
      <c r="F123" s="0" t="s">
        <v>3584</v>
      </c>
      <c r="G123" s="0" t="s">
        <v>3884</v>
      </c>
    </row>
    <row customHeight="1" ht="11.25">
      <c r="A124" s="382" t="s">
        <v>16</v>
      </c>
      <c r="B124" s="0" t="s">
        <v>3858</v>
      </c>
      <c r="C124" s="0" t="s">
        <v>3859</v>
      </c>
      <c r="D124" s="0" t="s">
        <v>3885</v>
      </c>
      <c r="E124" s="0" t="s">
        <v>3886</v>
      </c>
      <c r="F124" s="0" t="s">
        <v>3584</v>
      </c>
      <c r="G124" s="0" t="s">
        <v>3887</v>
      </c>
    </row>
    <row customHeight="1" ht="11.25">
      <c r="A125" s="382" t="s">
        <v>16</v>
      </c>
      <c r="B125" s="0" t="s">
        <v>3858</v>
      </c>
      <c r="C125" s="0" t="s">
        <v>3859</v>
      </c>
      <c r="D125" s="0" t="s">
        <v>3888</v>
      </c>
      <c r="E125" s="0" t="s">
        <v>3889</v>
      </c>
      <c r="F125" s="0" t="s">
        <v>3584</v>
      </c>
      <c r="G125" s="0" t="s">
        <v>3890</v>
      </c>
    </row>
    <row customHeight="1" ht="11.25">
      <c r="A126" s="382" t="s">
        <v>16</v>
      </c>
      <c r="B126" s="0" t="s">
        <v>3858</v>
      </c>
      <c r="C126" s="0" t="s">
        <v>3859</v>
      </c>
      <c r="D126" s="0" t="s">
        <v>3891</v>
      </c>
      <c r="E126" s="0" t="s">
        <v>3892</v>
      </c>
      <c r="F126" s="0" t="s">
        <v>3584</v>
      </c>
      <c r="G126" s="0" t="s">
        <v>3893</v>
      </c>
    </row>
    <row customHeight="1" ht="11.25">
      <c r="A127" s="382" t="s">
        <v>16</v>
      </c>
      <c r="B127" s="0" t="s">
        <v>3858</v>
      </c>
      <c r="C127" s="0" t="s">
        <v>3859</v>
      </c>
      <c r="D127" s="0" t="s">
        <v>3894</v>
      </c>
      <c r="E127" s="0" t="s">
        <v>3895</v>
      </c>
      <c r="F127" s="0" t="s">
        <v>3584</v>
      </c>
      <c r="G127" s="0" t="s">
        <v>3896</v>
      </c>
    </row>
    <row customHeight="1" ht="11.25">
      <c r="A128" s="382" t="s">
        <v>16</v>
      </c>
      <c r="B128" s="0" t="s">
        <v>3897</v>
      </c>
      <c r="C128" s="0" t="s">
        <v>3898</v>
      </c>
      <c r="D128" s="0" t="s">
        <v>3897</v>
      </c>
      <c r="E128" s="0" t="s">
        <v>3898</v>
      </c>
      <c r="F128" s="0" t="s">
        <v>3581</v>
      </c>
      <c r="G128" s="0" t="s">
        <v>3899</v>
      </c>
    </row>
    <row customHeight="1" ht="11.25">
      <c r="A129" s="382" t="s">
        <v>16</v>
      </c>
      <c r="B129" s="0" t="s">
        <v>3897</v>
      </c>
      <c r="C129" s="0" t="s">
        <v>3898</v>
      </c>
      <c r="D129" s="0" t="s">
        <v>3900</v>
      </c>
      <c r="E129" s="0" t="s">
        <v>3901</v>
      </c>
      <c r="F129" s="0" t="s">
        <v>3584</v>
      </c>
      <c r="G129" s="0" t="s">
        <v>3902</v>
      </c>
    </row>
    <row customHeight="1" ht="11.25">
      <c r="A130" s="382" t="s">
        <v>16</v>
      </c>
      <c r="B130" s="0" t="s">
        <v>3897</v>
      </c>
      <c r="C130" s="0" t="s">
        <v>3898</v>
      </c>
      <c r="D130" s="0" t="s">
        <v>3903</v>
      </c>
      <c r="E130" s="0" t="s">
        <v>3904</v>
      </c>
      <c r="F130" s="0" t="s">
        <v>3584</v>
      </c>
      <c r="G130" s="0" t="s">
        <v>3905</v>
      </c>
    </row>
    <row customHeight="1" ht="11.25">
      <c r="A131" s="382" t="s">
        <v>16</v>
      </c>
      <c r="B131" s="0" t="s">
        <v>3897</v>
      </c>
      <c r="C131" s="0" t="s">
        <v>3898</v>
      </c>
      <c r="D131" s="0" t="s">
        <v>3906</v>
      </c>
      <c r="E131" s="0" t="s">
        <v>3907</v>
      </c>
      <c r="F131" s="0" t="s">
        <v>3584</v>
      </c>
      <c r="G131" s="0" t="s">
        <v>3908</v>
      </c>
    </row>
    <row customHeight="1" ht="11.25">
      <c r="A132" s="382" t="s">
        <v>16</v>
      </c>
      <c r="B132" s="0" t="s">
        <v>3897</v>
      </c>
      <c r="C132" s="0" t="s">
        <v>3898</v>
      </c>
      <c r="D132" s="0" t="s">
        <v>3909</v>
      </c>
      <c r="E132" s="0" t="s">
        <v>3910</v>
      </c>
      <c r="F132" s="0" t="s">
        <v>3584</v>
      </c>
      <c r="G132" s="0" t="s">
        <v>3911</v>
      </c>
    </row>
    <row customHeight="1" ht="11.25">
      <c r="A133" s="382" t="s">
        <v>16</v>
      </c>
      <c r="B133" s="0" t="s">
        <v>3897</v>
      </c>
      <c r="C133" s="0" t="s">
        <v>3898</v>
      </c>
      <c r="D133" s="0" t="s">
        <v>3912</v>
      </c>
      <c r="E133" s="0" t="s">
        <v>3913</v>
      </c>
      <c r="F133" s="0" t="s">
        <v>3584</v>
      </c>
      <c r="G133" s="0" t="s">
        <v>3914</v>
      </c>
    </row>
    <row customHeight="1" ht="11.25">
      <c r="A134" s="382" t="s">
        <v>16</v>
      </c>
      <c r="B134" s="0" t="s">
        <v>3897</v>
      </c>
      <c r="C134" s="0" t="s">
        <v>3898</v>
      </c>
      <c r="D134" s="0" t="s">
        <v>3915</v>
      </c>
      <c r="E134" s="0" t="s">
        <v>3916</v>
      </c>
      <c r="F134" s="0" t="s">
        <v>3584</v>
      </c>
      <c r="G134" s="0" t="s">
        <v>3917</v>
      </c>
    </row>
    <row customHeight="1" ht="11.25">
      <c r="A135" s="382" t="s">
        <v>16</v>
      </c>
      <c r="B135" s="0" t="s">
        <v>3918</v>
      </c>
      <c r="C135" s="0" t="s">
        <v>3919</v>
      </c>
      <c r="D135" s="0" t="s">
        <v>3918</v>
      </c>
      <c r="E135" s="0" t="s">
        <v>3919</v>
      </c>
      <c r="F135" s="0" t="s">
        <v>3581</v>
      </c>
      <c r="G135" s="0" t="s">
        <v>3920</v>
      </c>
    </row>
    <row customHeight="1" ht="11.25">
      <c r="A136" s="382" t="s">
        <v>16</v>
      </c>
      <c r="B136" s="0" t="s">
        <v>3918</v>
      </c>
      <c r="C136" s="0" t="s">
        <v>3919</v>
      </c>
      <c r="D136" s="0" t="s">
        <v>3921</v>
      </c>
      <c r="E136" s="0" t="s">
        <v>3922</v>
      </c>
      <c r="F136" s="0" t="s">
        <v>3584</v>
      </c>
      <c r="G136" s="0" t="s">
        <v>3923</v>
      </c>
    </row>
    <row customHeight="1" ht="11.25">
      <c r="A137" s="382" t="s">
        <v>16</v>
      </c>
      <c r="B137" s="0" t="s">
        <v>3918</v>
      </c>
      <c r="C137" s="0" t="s">
        <v>3919</v>
      </c>
      <c r="D137" s="0" t="s">
        <v>3924</v>
      </c>
      <c r="E137" s="0" t="s">
        <v>3925</v>
      </c>
      <c r="F137" s="0" t="s">
        <v>3584</v>
      </c>
      <c r="G137" s="0" t="s">
        <v>3926</v>
      </c>
    </row>
    <row customHeight="1" ht="11.25">
      <c r="A138" s="382" t="s">
        <v>16</v>
      </c>
      <c r="B138" s="0" t="s">
        <v>3918</v>
      </c>
      <c r="C138" s="0" t="s">
        <v>3919</v>
      </c>
      <c r="D138" s="0" t="s">
        <v>3927</v>
      </c>
      <c r="E138" s="0" t="s">
        <v>3928</v>
      </c>
      <c r="F138" s="0" t="s">
        <v>3584</v>
      </c>
      <c r="G138" s="0" t="s">
        <v>3929</v>
      </c>
    </row>
    <row customHeight="1" ht="11.25">
      <c r="A139" s="382" t="s">
        <v>16</v>
      </c>
      <c r="B139" s="0" t="s">
        <v>3918</v>
      </c>
      <c r="C139" s="0" t="s">
        <v>3919</v>
      </c>
      <c r="D139" s="0" t="s">
        <v>3930</v>
      </c>
      <c r="E139" s="0" t="s">
        <v>3931</v>
      </c>
      <c r="F139" s="0" t="s">
        <v>3584</v>
      </c>
      <c r="G139" s="0" t="s">
        <v>3932</v>
      </c>
    </row>
    <row customHeight="1" ht="11.25">
      <c r="A140" s="382" t="s">
        <v>16</v>
      </c>
      <c r="B140" s="0" t="s">
        <v>3918</v>
      </c>
      <c r="C140" s="0" t="s">
        <v>3919</v>
      </c>
      <c r="D140" s="0" t="s">
        <v>3933</v>
      </c>
      <c r="E140" s="0" t="s">
        <v>3934</v>
      </c>
      <c r="F140" s="0" t="s">
        <v>3584</v>
      </c>
      <c r="G140" s="0" t="s">
        <v>3935</v>
      </c>
    </row>
    <row customHeight="1" ht="11.25">
      <c r="A141" s="382" t="s">
        <v>16</v>
      </c>
      <c r="B141" s="0" t="s">
        <v>3918</v>
      </c>
      <c r="C141" s="0" t="s">
        <v>3919</v>
      </c>
      <c r="D141" s="0" t="s">
        <v>3936</v>
      </c>
      <c r="E141" s="0" t="s">
        <v>3937</v>
      </c>
      <c r="F141" s="0" t="s">
        <v>3584</v>
      </c>
      <c r="G141" s="0" t="s">
        <v>3938</v>
      </c>
    </row>
    <row customHeight="1" ht="11.25">
      <c r="A142" s="382" t="s">
        <v>16</v>
      </c>
      <c r="B142" s="0" t="s">
        <v>3918</v>
      </c>
      <c r="C142" s="0" t="s">
        <v>3919</v>
      </c>
      <c r="D142" s="0" t="s">
        <v>3939</v>
      </c>
      <c r="E142" s="0" t="s">
        <v>3940</v>
      </c>
      <c r="F142" s="0" t="s">
        <v>3584</v>
      </c>
      <c r="G142" s="0" t="s">
        <v>3941</v>
      </c>
    </row>
    <row customHeight="1" ht="11.25">
      <c r="A143" s="382" t="s">
        <v>16</v>
      </c>
      <c r="B143" s="0" t="s">
        <v>3918</v>
      </c>
      <c r="C143" s="0" t="s">
        <v>3919</v>
      </c>
      <c r="D143" s="0" t="s">
        <v>3942</v>
      </c>
      <c r="E143" s="0" t="s">
        <v>3943</v>
      </c>
      <c r="F143" s="0" t="s">
        <v>3584</v>
      </c>
      <c r="G143" s="0" t="s">
        <v>3944</v>
      </c>
    </row>
    <row customHeight="1" ht="11.25">
      <c r="A144" s="382" t="s">
        <v>16</v>
      </c>
      <c r="B144" s="0" t="s">
        <v>3918</v>
      </c>
      <c r="C144" s="0" t="s">
        <v>3919</v>
      </c>
      <c r="D144" s="0" t="s">
        <v>3945</v>
      </c>
      <c r="E144" s="0" t="s">
        <v>3946</v>
      </c>
      <c r="F144" s="0" t="s">
        <v>3584</v>
      </c>
      <c r="G144" s="0" t="s">
        <v>3947</v>
      </c>
    </row>
    <row customHeight="1" ht="11.25">
      <c r="A145" s="382" t="s">
        <v>16</v>
      </c>
      <c r="B145" s="0" t="s">
        <v>3918</v>
      </c>
      <c r="C145" s="0" t="s">
        <v>3919</v>
      </c>
      <c r="D145" s="0" t="s">
        <v>3948</v>
      </c>
      <c r="E145" s="0" t="s">
        <v>3949</v>
      </c>
      <c r="F145" s="0" t="s">
        <v>3584</v>
      </c>
      <c r="G145" s="0" t="s">
        <v>3950</v>
      </c>
    </row>
    <row customHeight="1" ht="11.25">
      <c r="A146" s="382" t="s">
        <v>16</v>
      </c>
      <c r="B146" s="0" t="s">
        <v>3918</v>
      </c>
      <c r="C146" s="0" t="s">
        <v>3919</v>
      </c>
      <c r="D146" s="0" t="s">
        <v>3951</v>
      </c>
      <c r="E146" s="0" t="s">
        <v>3952</v>
      </c>
      <c r="F146" s="0" t="s">
        <v>3584</v>
      </c>
      <c r="G146" s="0" t="s">
        <v>3953</v>
      </c>
    </row>
    <row customHeight="1" ht="11.25">
      <c r="A147" s="382" t="s">
        <v>16</v>
      </c>
      <c r="B147" s="0" t="s">
        <v>3918</v>
      </c>
      <c r="C147" s="0" t="s">
        <v>3919</v>
      </c>
      <c r="D147" s="0" t="s">
        <v>3954</v>
      </c>
      <c r="E147" s="0" t="s">
        <v>3955</v>
      </c>
      <c r="F147" s="0" t="s">
        <v>3584</v>
      </c>
      <c r="G147" s="0" t="s">
        <v>3956</v>
      </c>
    </row>
    <row customHeight="1" ht="11.25">
      <c r="A148" s="382" t="s">
        <v>16</v>
      </c>
      <c r="B148" s="0" t="s">
        <v>3918</v>
      </c>
      <c r="C148" s="0" t="s">
        <v>3919</v>
      </c>
      <c r="D148" s="0" t="s">
        <v>3957</v>
      </c>
      <c r="E148" s="0" t="s">
        <v>3958</v>
      </c>
      <c r="F148" s="0" t="s">
        <v>3584</v>
      </c>
      <c r="G148" s="0" t="s">
        <v>3959</v>
      </c>
    </row>
    <row customHeight="1" ht="11.25">
      <c r="A149" s="382" t="s">
        <v>16</v>
      </c>
      <c r="B149" s="0" t="s">
        <v>3960</v>
      </c>
      <c r="C149" s="0" t="s">
        <v>3961</v>
      </c>
      <c r="D149" s="0" t="s">
        <v>3960</v>
      </c>
      <c r="E149" s="0" t="s">
        <v>3961</v>
      </c>
      <c r="F149" s="0" t="s">
        <v>3581</v>
      </c>
      <c r="G149" s="0" t="s">
        <v>3962</v>
      </c>
    </row>
    <row customHeight="1" ht="11.25">
      <c r="A150" s="382" t="s">
        <v>16</v>
      </c>
      <c r="B150" s="0" t="s">
        <v>3960</v>
      </c>
      <c r="C150" s="0" t="s">
        <v>3961</v>
      </c>
      <c r="D150" s="0" t="s">
        <v>3963</v>
      </c>
      <c r="E150" s="0" t="s">
        <v>3964</v>
      </c>
      <c r="F150" s="0" t="s">
        <v>3584</v>
      </c>
      <c r="G150" s="0" t="s">
        <v>3965</v>
      </c>
    </row>
    <row customHeight="1" ht="11.25">
      <c r="A151" s="382" t="s">
        <v>16</v>
      </c>
      <c r="B151" s="0" t="s">
        <v>3960</v>
      </c>
      <c r="C151" s="0" t="s">
        <v>3961</v>
      </c>
      <c r="D151" s="0" t="s">
        <v>3966</v>
      </c>
      <c r="E151" s="0" t="s">
        <v>3967</v>
      </c>
      <c r="F151" s="0" t="s">
        <v>3584</v>
      </c>
      <c r="G151" s="0" t="s">
        <v>3968</v>
      </c>
    </row>
    <row customHeight="1" ht="11.25">
      <c r="A152" s="382" t="s">
        <v>16</v>
      </c>
      <c r="B152" s="0" t="s">
        <v>3960</v>
      </c>
      <c r="C152" s="0" t="s">
        <v>3961</v>
      </c>
      <c r="D152" s="0" t="s">
        <v>3969</v>
      </c>
      <c r="E152" s="0" t="s">
        <v>3970</v>
      </c>
      <c r="F152" s="0" t="s">
        <v>3584</v>
      </c>
      <c r="G152" s="0" t="s">
        <v>3971</v>
      </c>
    </row>
    <row customHeight="1" ht="11.25">
      <c r="A153" s="382" t="s">
        <v>16</v>
      </c>
      <c r="B153" s="0" t="s">
        <v>3960</v>
      </c>
      <c r="C153" s="0" t="s">
        <v>3961</v>
      </c>
      <c r="D153" s="0" t="s">
        <v>3972</v>
      </c>
      <c r="E153" s="0" t="s">
        <v>3973</v>
      </c>
      <c r="F153" s="0" t="s">
        <v>3584</v>
      </c>
      <c r="G153" s="0" t="s">
        <v>3974</v>
      </c>
    </row>
    <row customHeight="1" ht="11.25">
      <c r="A154" s="382" t="s">
        <v>16</v>
      </c>
      <c r="B154" s="0" t="s">
        <v>3960</v>
      </c>
      <c r="C154" s="0" t="s">
        <v>3961</v>
      </c>
      <c r="D154" s="0" t="s">
        <v>3975</v>
      </c>
      <c r="E154" s="0" t="s">
        <v>3976</v>
      </c>
      <c r="F154" s="0" t="s">
        <v>3584</v>
      </c>
      <c r="G154" s="0" t="s">
        <v>3977</v>
      </c>
    </row>
    <row customHeight="1" ht="11.25">
      <c r="A155" s="382" t="s">
        <v>16</v>
      </c>
      <c r="B155" s="0" t="s">
        <v>3960</v>
      </c>
      <c r="C155" s="0" t="s">
        <v>3961</v>
      </c>
      <c r="D155" s="0" t="s">
        <v>3978</v>
      </c>
      <c r="E155" s="0" t="s">
        <v>3979</v>
      </c>
      <c r="F155" s="0" t="s">
        <v>3584</v>
      </c>
      <c r="G155" s="0" t="s">
        <v>3980</v>
      </c>
    </row>
    <row customHeight="1" ht="11.25">
      <c r="A156" s="382" t="s">
        <v>16</v>
      </c>
      <c r="B156" s="0" t="s">
        <v>3960</v>
      </c>
      <c r="C156" s="0" t="s">
        <v>3961</v>
      </c>
      <c r="D156" s="0" t="s">
        <v>3981</v>
      </c>
      <c r="E156" s="0" t="s">
        <v>3982</v>
      </c>
      <c r="F156" s="0" t="s">
        <v>3584</v>
      </c>
      <c r="G156" s="0" t="s">
        <v>3983</v>
      </c>
    </row>
    <row customHeight="1" ht="11.25">
      <c r="A157" s="382" t="s">
        <v>16</v>
      </c>
      <c r="B157" s="0" t="s">
        <v>3960</v>
      </c>
      <c r="C157" s="0" t="s">
        <v>3961</v>
      </c>
      <c r="D157" s="0" t="s">
        <v>3984</v>
      </c>
      <c r="E157" s="0" t="s">
        <v>3985</v>
      </c>
      <c r="F157" s="0" t="s">
        <v>3584</v>
      </c>
      <c r="G157" s="0" t="s">
        <v>3986</v>
      </c>
    </row>
    <row customHeight="1" ht="11.25">
      <c r="A158" s="382" t="s">
        <v>16</v>
      </c>
      <c r="B158" s="0" t="s">
        <v>3960</v>
      </c>
      <c r="C158" s="0" t="s">
        <v>3961</v>
      </c>
      <c r="D158" s="0" t="s">
        <v>3987</v>
      </c>
      <c r="E158" s="0" t="s">
        <v>3988</v>
      </c>
      <c r="F158" s="0" t="s">
        <v>3584</v>
      </c>
      <c r="G158" s="0" t="s">
        <v>3989</v>
      </c>
    </row>
    <row customHeight="1" ht="11.25">
      <c r="A159" s="382" t="s">
        <v>16</v>
      </c>
      <c r="B159" s="0" t="s">
        <v>3960</v>
      </c>
      <c r="C159" s="0" t="s">
        <v>3961</v>
      </c>
      <c r="D159" s="0" t="s">
        <v>3990</v>
      </c>
      <c r="E159" s="0" t="s">
        <v>3991</v>
      </c>
      <c r="F159" s="0" t="s">
        <v>3584</v>
      </c>
      <c r="G159" s="0" t="s">
        <v>3992</v>
      </c>
    </row>
    <row customHeight="1" ht="11.25">
      <c r="A160" s="382" t="s">
        <v>16</v>
      </c>
      <c r="B160" s="0" t="s">
        <v>3960</v>
      </c>
      <c r="C160" s="0" t="s">
        <v>3961</v>
      </c>
      <c r="D160" s="0" t="s">
        <v>3993</v>
      </c>
      <c r="E160" s="0" t="s">
        <v>3994</v>
      </c>
      <c r="F160" s="0" t="s">
        <v>3584</v>
      </c>
      <c r="G160" s="0" t="s">
        <v>3995</v>
      </c>
    </row>
    <row customHeight="1" ht="11.25">
      <c r="A161" s="382" t="s">
        <v>16</v>
      </c>
      <c r="B161" s="0" t="s">
        <v>3960</v>
      </c>
      <c r="C161" s="0" t="s">
        <v>3961</v>
      </c>
      <c r="D161" s="0" t="s">
        <v>3996</v>
      </c>
      <c r="E161" s="0" t="s">
        <v>3997</v>
      </c>
      <c r="F161" s="0" t="s">
        <v>3584</v>
      </c>
      <c r="G161" s="0" t="s">
        <v>3998</v>
      </c>
    </row>
    <row customHeight="1" ht="11.25">
      <c r="A162" s="382" t="s">
        <v>16</v>
      </c>
      <c r="B162" s="0" t="s">
        <v>3999</v>
      </c>
      <c r="C162" s="0" t="s">
        <v>4000</v>
      </c>
      <c r="D162" s="0" t="s">
        <v>3999</v>
      </c>
      <c r="E162" s="0" t="s">
        <v>4000</v>
      </c>
      <c r="F162" s="0" t="s">
        <v>3581</v>
      </c>
      <c r="G162" s="0" t="s">
        <v>4001</v>
      </c>
    </row>
    <row customHeight="1" ht="11.25">
      <c r="A163" s="382" t="s">
        <v>16</v>
      </c>
      <c r="B163" s="0" t="s">
        <v>3999</v>
      </c>
      <c r="C163" s="0" t="s">
        <v>4000</v>
      </c>
      <c r="D163" s="0" t="s">
        <v>4002</v>
      </c>
      <c r="E163" s="0" t="s">
        <v>4003</v>
      </c>
      <c r="F163" s="0" t="s">
        <v>3597</v>
      </c>
      <c r="G163" s="0" t="s">
        <v>4004</v>
      </c>
    </row>
    <row customHeight="1" ht="11.25">
      <c r="A164" s="382" t="s">
        <v>16</v>
      </c>
      <c r="B164" s="0" t="s">
        <v>3999</v>
      </c>
      <c r="C164" s="0" t="s">
        <v>4000</v>
      </c>
      <c r="D164" s="0" t="s">
        <v>4005</v>
      </c>
      <c r="E164" s="0" t="s">
        <v>4006</v>
      </c>
      <c r="F164" s="0" t="s">
        <v>3597</v>
      </c>
      <c r="G164" s="0" t="s">
        <v>4007</v>
      </c>
    </row>
    <row customHeight="1" ht="11.25">
      <c r="A165" s="382" t="s">
        <v>16</v>
      </c>
      <c r="B165" s="0" t="s">
        <v>3999</v>
      </c>
      <c r="C165" s="0" t="s">
        <v>4000</v>
      </c>
      <c r="D165" s="0" t="s">
        <v>4008</v>
      </c>
      <c r="E165" s="0" t="s">
        <v>4009</v>
      </c>
      <c r="F165" s="0" t="s">
        <v>3597</v>
      </c>
      <c r="G165" s="0" t="s">
        <v>4010</v>
      </c>
    </row>
    <row customHeight="1" ht="11.25">
      <c r="A166" s="382" t="s">
        <v>16</v>
      </c>
      <c r="B166" s="0" t="s">
        <v>3999</v>
      </c>
      <c r="C166" s="0" t="s">
        <v>4000</v>
      </c>
      <c r="D166" s="0" t="s">
        <v>4011</v>
      </c>
      <c r="E166" s="0" t="s">
        <v>4012</v>
      </c>
      <c r="F166" s="0" t="s">
        <v>3584</v>
      </c>
      <c r="G166" s="0" t="s">
        <v>4013</v>
      </c>
    </row>
    <row customHeight="1" ht="11.25">
      <c r="A167" s="382" t="s">
        <v>16</v>
      </c>
      <c r="B167" s="0" t="s">
        <v>3999</v>
      </c>
      <c r="C167" s="0" t="s">
        <v>4000</v>
      </c>
      <c r="D167" s="0" t="s">
        <v>4014</v>
      </c>
      <c r="E167" s="0" t="s">
        <v>4015</v>
      </c>
      <c r="F167" s="0" t="s">
        <v>3584</v>
      </c>
      <c r="G167" s="0" t="s">
        <v>4016</v>
      </c>
    </row>
    <row customHeight="1" ht="11.25">
      <c r="A168" s="382" t="s">
        <v>16</v>
      </c>
      <c r="B168" s="0" t="s">
        <v>3999</v>
      </c>
      <c r="C168" s="0" t="s">
        <v>4000</v>
      </c>
      <c r="D168" s="0" t="s">
        <v>4017</v>
      </c>
      <c r="E168" s="0" t="s">
        <v>4018</v>
      </c>
      <c r="F168" s="0" t="s">
        <v>3584</v>
      </c>
      <c r="G168" s="0" t="s">
        <v>4019</v>
      </c>
    </row>
    <row customHeight="1" ht="11.25">
      <c r="A169" s="382" t="s">
        <v>16</v>
      </c>
      <c r="B169" s="0" t="s">
        <v>3999</v>
      </c>
      <c r="C169" s="0" t="s">
        <v>4000</v>
      </c>
      <c r="D169" s="0" t="s">
        <v>4020</v>
      </c>
      <c r="E169" s="0" t="s">
        <v>4021</v>
      </c>
      <c r="F169" s="0" t="s">
        <v>3584</v>
      </c>
      <c r="G169" s="0" t="s">
        <v>4022</v>
      </c>
    </row>
    <row customHeight="1" ht="11.25">
      <c r="A170" s="382" t="s">
        <v>16</v>
      </c>
      <c r="B170" s="0" t="s">
        <v>3999</v>
      </c>
      <c r="C170" s="0" t="s">
        <v>4000</v>
      </c>
      <c r="D170" s="0" t="s">
        <v>4023</v>
      </c>
      <c r="E170" s="0" t="s">
        <v>4024</v>
      </c>
      <c r="F170" s="0" t="s">
        <v>3584</v>
      </c>
      <c r="G170" s="0" t="s">
        <v>4025</v>
      </c>
    </row>
    <row customHeight="1" ht="11.25">
      <c r="A171" s="382" t="s">
        <v>16</v>
      </c>
      <c r="B171" s="0" t="s">
        <v>3999</v>
      </c>
      <c r="C171" s="0" t="s">
        <v>4000</v>
      </c>
      <c r="D171" s="0" t="s">
        <v>4026</v>
      </c>
      <c r="E171" s="0" t="s">
        <v>4027</v>
      </c>
      <c r="F171" s="0" t="s">
        <v>3584</v>
      </c>
      <c r="G171" s="0" t="s">
        <v>4028</v>
      </c>
    </row>
    <row customHeight="1" ht="11.25">
      <c r="A172" s="382" t="s">
        <v>16</v>
      </c>
      <c r="B172" s="0" t="s">
        <v>3999</v>
      </c>
      <c r="C172" s="0" t="s">
        <v>4000</v>
      </c>
      <c r="D172" s="0" t="s">
        <v>4029</v>
      </c>
      <c r="E172" s="0" t="s">
        <v>4030</v>
      </c>
      <c r="F172" s="0" t="s">
        <v>3584</v>
      </c>
      <c r="G172" s="0" t="s">
        <v>4031</v>
      </c>
    </row>
    <row customHeight="1" ht="11.25">
      <c r="A173" s="382" t="s">
        <v>16</v>
      </c>
      <c r="B173" s="0" t="s">
        <v>3999</v>
      </c>
      <c r="C173" s="0" t="s">
        <v>4000</v>
      </c>
      <c r="D173" s="0" t="s">
        <v>4032</v>
      </c>
      <c r="E173" s="0" t="s">
        <v>4033</v>
      </c>
      <c r="F173" s="0" t="s">
        <v>3584</v>
      </c>
      <c r="G173" s="0" t="s">
        <v>4034</v>
      </c>
    </row>
    <row customHeight="1" ht="11.25">
      <c r="A174" s="382" t="s">
        <v>16</v>
      </c>
      <c r="B174" s="0" t="s">
        <v>3999</v>
      </c>
      <c r="C174" s="0" t="s">
        <v>4000</v>
      </c>
      <c r="D174" s="0" t="s">
        <v>4035</v>
      </c>
      <c r="E174" s="0" t="s">
        <v>4036</v>
      </c>
      <c r="F174" s="0" t="s">
        <v>3584</v>
      </c>
      <c r="G174" s="0" t="s">
        <v>4037</v>
      </c>
    </row>
    <row customHeight="1" ht="11.25">
      <c r="A175" s="382" t="s">
        <v>16</v>
      </c>
      <c r="B175" s="0" t="s">
        <v>3999</v>
      </c>
      <c r="C175" s="0" t="s">
        <v>4000</v>
      </c>
      <c r="D175" s="0" t="s">
        <v>4038</v>
      </c>
      <c r="E175" s="0" t="s">
        <v>4039</v>
      </c>
      <c r="F175" s="0" t="s">
        <v>3584</v>
      </c>
      <c r="G175" s="0" t="s">
        <v>4040</v>
      </c>
    </row>
    <row customHeight="1" ht="11.25">
      <c r="A176" s="382" t="s">
        <v>16</v>
      </c>
      <c r="B176" s="0" t="s">
        <v>4041</v>
      </c>
      <c r="C176" s="0" t="s">
        <v>4042</v>
      </c>
      <c r="D176" s="0" t="s">
        <v>4041</v>
      </c>
      <c r="E176" s="0" t="s">
        <v>4042</v>
      </c>
      <c r="F176" s="0" t="s">
        <v>3581</v>
      </c>
      <c r="G176" s="0" t="s">
        <v>4043</v>
      </c>
    </row>
    <row customHeight="1" ht="11.25">
      <c r="A177" s="382" t="s">
        <v>16</v>
      </c>
      <c r="B177" s="0" t="s">
        <v>4041</v>
      </c>
      <c r="C177" s="0" t="s">
        <v>4042</v>
      </c>
      <c r="D177" s="0" t="s">
        <v>4044</v>
      </c>
      <c r="E177" s="0" t="s">
        <v>4045</v>
      </c>
      <c r="F177" s="0" t="s">
        <v>4046</v>
      </c>
      <c r="G177" s="0" t="s">
        <v>4047</v>
      </c>
    </row>
    <row customHeight="1" ht="11.25">
      <c r="A178" s="382" t="s">
        <v>16</v>
      </c>
      <c r="B178" s="0" t="s">
        <v>4041</v>
      </c>
      <c r="C178" s="0" t="s">
        <v>4042</v>
      </c>
      <c r="D178" s="0" t="s">
        <v>4048</v>
      </c>
      <c r="E178" s="0" t="s">
        <v>4049</v>
      </c>
      <c r="F178" s="0" t="s">
        <v>3584</v>
      </c>
      <c r="G178" s="0" t="s">
        <v>4050</v>
      </c>
    </row>
    <row customHeight="1" ht="11.25">
      <c r="A179" s="382" t="s">
        <v>16</v>
      </c>
      <c r="B179" s="0" t="s">
        <v>4041</v>
      </c>
      <c r="C179" s="0" t="s">
        <v>4042</v>
      </c>
      <c r="D179" s="0" t="s">
        <v>3867</v>
      </c>
      <c r="E179" s="0" t="s">
        <v>4051</v>
      </c>
      <c r="F179" s="0" t="s">
        <v>3584</v>
      </c>
      <c r="G179" s="0" t="s">
        <v>4052</v>
      </c>
    </row>
    <row customHeight="1" ht="11.25">
      <c r="A180" s="382" t="s">
        <v>16</v>
      </c>
      <c r="B180" s="0" t="s">
        <v>4041</v>
      </c>
      <c r="C180" s="0" t="s">
        <v>4042</v>
      </c>
      <c r="D180" s="0" t="s">
        <v>4053</v>
      </c>
      <c r="E180" s="0" t="s">
        <v>4054</v>
      </c>
      <c r="F180" s="0" t="s">
        <v>3584</v>
      </c>
      <c r="G180" s="0" t="s">
        <v>4055</v>
      </c>
    </row>
    <row customHeight="1" ht="11.25">
      <c r="A181" s="382" t="s">
        <v>16</v>
      </c>
      <c r="B181" s="0" t="s">
        <v>4041</v>
      </c>
      <c r="C181" s="0" t="s">
        <v>4042</v>
      </c>
      <c r="D181" s="0" t="s">
        <v>4056</v>
      </c>
      <c r="E181" s="0" t="s">
        <v>4057</v>
      </c>
      <c r="F181" s="0" t="s">
        <v>3584</v>
      </c>
      <c r="G181" s="0" t="s">
        <v>4058</v>
      </c>
    </row>
    <row customHeight="1" ht="11.25">
      <c r="A182" s="382" t="s">
        <v>16</v>
      </c>
      <c r="B182" s="0" t="s">
        <v>4041</v>
      </c>
      <c r="C182" s="0" t="s">
        <v>4042</v>
      </c>
      <c r="D182" s="0" t="s">
        <v>4059</v>
      </c>
      <c r="E182" s="0" t="s">
        <v>4060</v>
      </c>
      <c r="F182" s="0" t="s">
        <v>3584</v>
      </c>
      <c r="G182" s="0" t="s">
        <v>4061</v>
      </c>
    </row>
    <row customHeight="1" ht="11.25">
      <c r="A183" s="382" t="s">
        <v>16</v>
      </c>
      <c r="B183" s="0" t="s">
        <v>4041</v>
      </c>
      <c r="C183" s="0" t="s">
        <v>4042</v>
      </c>
      <c r="D183" s="0" t="s">
        <v>4062</v>
      </c>
      <c r="E183" s="0" t="s">
        <v>4063</v>
      </c>
      <c r="F183" s="0" t="s">
        <v>3584</v>
      </c>
      <c r="G183" s="0" t="s">
        <v>4064</v>
      </c>
    </row>
    <row customHeight="1" ht="11.25">
      <c r="A184" s="382" t="s">
        <v>16</v>
      </c>
      <c r="B184" s="0" t="s">
        <v>4041</v>
      </c>
      <c r="C184" s="0" t="s">
        <v>4042</v>
      </c>
      <c r="D184" s="0" t="s">
        <v>4065</v>
      </c>
      <c r="E184" s="0" t="s">
        <v>4066</v>
      </c>
      <c r="F184" s="0" t="s">
        <v>3584</v>
      </c>
      <c r="G184" s="0" t="s">
        <v>4067</v>
      </c>
    </row>
    <row customHeight="1" ht="11.25">
      <c r="A185" s="382" t="s">
        <v>16</v>
      </c>
      <c r="B185" s="0" t="s">
        <v>4041</v>
      </c>
      <c r="C185" s="0" t="s">
        <v>4042</v>
      </c>
      <c r="D185" s="0" t="s">
        <v>4068</v>
      </c>
      <c r="E185" s="0" t="s">
        <v>4069</v>
      </c>
      <c r="F185" s="0" t="s">
        <v>3584</v>
      </c>
      <c r="G185" s="0" t="s">
        <v>4070</v>
      </c>
    </row>
    <row customHeight="1" ht="11.25">
      <c r="A186" s="382" t="s">
        <v>16</v>
      </c>
      <c r="B186" s="0" t="s">
        <v>4071</v>
      </c>
      <c r="C186" s="0" t="s">
        <v>4072</v>
      </c>
      <c r="D186" s="0" t="s">
        <v>4071</v>
      </c>
      <c r="E186" s="0" t="s">
        <v>4072</v>
      </c>
      <c r="F186" s="0" t="s">
        <v>3581</v>
      </c>
      <c r="G186" s="0" t="s">
        <v>4073</v>
      </c>
    </row>
    <row customHeight="1" ht="11.25">
      <c r="A187" s="382" t="s">
        <v>16</v>
      </c>
      <c r="B187" s="0" t="s">
        <v>4071</v>
      </c>
      <c r="C187" s="0" t="s">
        <v>4072</v>
      </c>
      <c r="D187" s="0" t="s">
        <v>4074</v>
      </c>
      <c r="E187" s="0" t="s">
        <v>4075</v>
      </c>
      <c r="F187" s="0" t="s">
        <v>3584</v>
      </c>
      <c r="G187" s="0" t="s">
        <v>4076</v>
      </c>
    </row>
    <row customHeight="1" ht="11.25">
      <c r="A188" s="382" t="s">
        <v>16</v>
      </c>
      <c r="B188" s="0" t="s">
        <v>4071</v>
      </c>
      <c r="C188" s="0" t="s">
        <v>4072</v>
      </c>
      <c r="D188" s="0" t="s">
        <v>4077</v>
      </c>
      <c r="E188" s="0" t="s">
        <v>4078</v>
      </c>
      <c r="F188" s="0" t="s">
        <v>3584</v>
      </c>
      <c r="G188" s="0" t="s">
        <v>4079</v>
      </c>
    </row>
    <row customHeight="1" ht="11.25">
      <c r="A189" s="382" t="s">
        <v>16</v>
      </c>
      <c r="B189" s="0" t="s">
        <v>4071</v>
      </c>
      <c r="C189" s="0" t="s">
        <v>4072</v>
      </c>
      <c r="D189" s="0" t="s">
        <v>4080</v>
      </c>
      <c r="E189" s="0" t="s">
        <v>4081</v>
      </c>
      <c r="F189" s="0" t="s">
        <v>3584</v>
      </c>
      <c r="G189" s="0" t="s">
        <v>4082</v>
      </c>
    </row>
    <row customHeight="1" ht="11.25">
      <c r="A190" s="382" t="s">
        <v>16</v>
      </c>
      <c r="B190" s="0" t="s">
        <v>4071</v>
      </c>
      <c r="C190" s="0" t="s">
        <v>4072</v>
      </c>
      <c r="D190" s="0" t="s">
        <v>4083</v>
      </c>
      <c r="E190" s="0" t="s">
        <v>4084</v>
      </c>
      <c r="F190" s="0" t="s">
        <v>3584</v>
      </c>
      <c r="G190" s="0" t="s">
        <v>4085</v>
      </c>
    </row>
    <row customHeight="1" ht="11.25">
      <c r="A191" s="382" t="s">
        <v>16</v>
      </c>
      <c r="B191" s="0" t="s">
        <v>4071</v>
      </c>
      <c r="C191" s="0" t="s">
        <v>4072</v>
      </c>
      <c r="D191" s="0" t="s">
        <v>4086</v>
      </c>
      <c r="E191" s="0" t="s">
        <v>4087</v>
      </c>
      <c r="F191" s="0" t="s">
        <v>3584</v>
      </c>
      <c r="G191" s="0" t="s">
        <v>4088</v>
      </c>
    </row>
    <row customHeight="1" ht="11.25">
      <c r="A192" s="382" t="s">
        <v>16</v>
      </c>
      <c r="B192" s="0" t="s">
        <v>4071</v>
      </c>
      <c r="C192" s="0" t="s">
        <v>4072</v>
      </c>
      <c r="D192" s="0" t="s">
        <v>4089</v>
      </c>
      <c r="E192" s="0" t="s">
        <v>4090</v>
      </c>
      <c r="F192" s="0" t="s">
        <v>3584</v>
      </c>
      <c r="G192" s="0" t="s">
        <v>4091</v>
      </c>
    </row>
    <row customHeight="1" ht="11.25">
      <c r="A193" s="382" t="s">
        <v>16</v>
      </c>
      <c r="B193" s="0" t="s">
        <v>4071</v>
      </c>
      <c r="C193" s="0" t="s">
        <v>4072</v>
      </c>
      <c r="D193" s="0" t="s">
        <v>4092</v>
      </c>
      <c r="E193" s="0" t="s">
        <v>4093</v>
      </c>
      <c r="F193" s="0" t="s">
        <v>3584</v>
      </c>
      <c r="G193" s="0" t="s">
        <v>4094</v>
      </c>
    </row>
    <row customHeight="1" ht="11.25">
      <c r="A194" s="382" t="s">
        <v>16</v>
      </c>
      <c r="B194" s="0" t="s">
        <v>4071</v>
      </c>
      <c r="C194" s="0" t="s">
        <v>4072</v>
      </c>
      <c r="D194" s="0" t="s">
        <v>4095</v>
      </c>
      <c r="E194" s="0" t="s">
        <v>4096</v>
      </c>
      <c r="F194" s="0" t="s">
        <v>3584</v>
      </c>
      <c r="G194" s="0" t="s">
        <v>4097</v>
      </c>
    </row>
    <row customHeight="1" ht="11.25">
      <c r="A195" s="382" t="s">
        <v>16</v>
      </c>
      <c r="B195" s="0" t="s">
        <v>4098</v>
      </c>
      <c r="C195" s="0" t="s">
        <v>4099</v>
      </c>
      <c r="D195" s="0" t="s">
        <v>4098</v>
      </c>
      <c r="E195" s="0" t="s">
        <v>4099</v>
      </c>
      <c r="F195" s="0" t="s">
        <v>3581</v>
      </c>
      <c r="G195" s="0" t="s">
        <v>4100</v>
      </c>
    </row>
    <row customHeight="1" ht="11.25">
      <c r="A196" s="382" t="s">
        <v>16</v>
      </c>
      <c r="B196" s="0" t="s">
        <v>4098</v>
      </c>
      <c r="C196" s="0" t="s">
        <v>4099</v>
      </c>
      <c r="D196" s="0" t="s">
        <v>4101</v>
      </c>
      <c r="E196" s="0" t="s">
        <v>4102</v>
      </c>
      <c r="F196" s="0" t="s">
        <v>3584</v>
      </c>
      <c r="G196" s="0" t="s">
        <v>4103</v>
      </c>
    </row>
    <row customHeight="1" ht="11.25">
      <c r="A197" s="382" t="s">
        <v>16</v>
      </c>
      <c r="B197" s="0" t="s">
        <v>4098</v>
      </c>
      <c r="C197" s="0" t="s">
        <v>4099</v>
      </c>
      <c r="D197" s="0" t="s">
        <v>4104</v>
      </c>
      <c r="E197" s="0" t="s">
        <v>4105</v>
      </c>
      <c r="F197" s="0" t="s">
        <v>3584</v>
      </c>
      <c r="G197" s="0" t="s">
        <v>4106</v>
      </c>
    </row>
    <row customHeight="1" ht="11.25">
      <c r="A198" s="382" t="s">
        <v>16</v>
      </c>
      <c r="B198" s="0" t="s">
        <v>4098</v>
      </c>
      <c r="C198" s="0" t="s">
        <v>4099</v>
      </c>
      <c r="D198" s="0" t="s">
        <v>4107</v>
      </c>
      <c r="E198" s="0" t="s">
        <v>4108</v>
      </c>
      <c r="F198" s="0" t="s">
        <v>3584</v>
      </c>
      <c r="G198" s="0" t="s">
        <v>4109</v>
      </c>
    </row>
    <row customHeight="1" ht="11.25">
      <c r="A199" s="382" t="s">
        <v>16</v>
      </c>
      <c r="B199" s="0" t="s">
        <v>4098</v>
      </c>
      <c r="C199" s="0" t="s">
        <v>4099</v>
      </c>
      <c r="D199" s="0" t="s">
        <v>4110</v>
      </c>
      <c r="E199" s="0" t="s">
        <v>4111</v>
      </c>
      <c r="F199" s="0" t="s">
        <v>3584</v>
      </c>
      <c r="G199" s="0" t="s">
        <v>4112</v>
      </c>
    </row>
    <row customHeight="1" ht="11.25">
      <c r="A200" s="382" t="s">
        <v>16</v>
      </c>
      <c r="B200" s="0" t="s">
        <v>4098</v>
      </c>
      <c r="C200" s="0" t="s">
        <v>4099</v>
      </c>
      <c r="D200" s="0" t="s">
        <v>4113</v>
      </c>
      <c r="E200" s="0" t="s">
        <v>4114</v>
      </c>
      <c r="F200" s="0" t="s">
        <v>3584</v>
      </c>
      <c r="G200" s="0" t="s">
        <v>4115</v>
      </c>
    </row>
    <row customHeight="1" ht="11.25">
      <c r="A201" s="382" t="s">
        <v>16</v>
      </c>
      <c r="B201" s="0" t="s">
        <v>4098</v>
      </c>
      <c r="C201" s="0" t="s">
        <v>4099</v>
      </c>
      <c r="D201" s="0" t="s">
        <v>4116</v>
      </c>
      <c r="E201" s="0" t="s">
        <v>4117</v>
      </c>
      <c r="F201" s="0" t="s">
        <v>3584</v>
      </c>
      <c r="G201" s="0" t="s">
        <v>4118</v>
      </c>
    </row>
    <row customHeight="1" ht="11.25">
      <c r="A202" s="382" t="s">
        <v>16</v>
      </c>
      <c r="B202" s="0" t="s">
        <v>4098</v>
      </c>
      <c r="C202" s="0" t="s">
        <v>4099</v>
      </c>
      <c r="D202" s="0" t="s">
        <v>4119</v>
      </c>
      <c r="E202" s="0" t="s">
        <v>4120</v>
      </c>
      <c r="F202" s="0" t="s">
        <v>3584</v>
      </c>
      <c r="G202" s="0" t="s">
        <v>4121</v>
      </c>
    </row>
    <row customHeight="1" ht="11.25">
      <c r="A203" s="382" t="s">
        <v>16</v>
      </c>
      <c r="B203" s="0" t="s">
        <v>4098</v>
      </c>
      <c r="C203" s="0" t="s">
        <v>4099</v>
      </c>
      <c r="D203" s="0" t="s">
        <v>4122</v>
      </c>
      <c r="E203" s="0" t="s">
        <v>4123</v>
      </c>
      <c r="F203" s="0" t="s">
        <v>3584</v>
      </c>
      <c r="G203" s="0" t="s">
        <v>4124</v>
      </c>
    </row>
    <row customHeight="1" ht="11.25">
      <c r="A204" s="382" t="s">
        <v>16</v>
      </c>
      <c r="B204" s="0" t="s">
        <v>4098</v>
      </c>
      <c r="C204" s="0" t="s">
        <v>4099</v>
      </c>
      <c r="D204" s="0" t="s">
        <v>4125</v>
      </c>
      <c r="E204" s="0" t="s">
        <v>4126</v>
      </c>
      <c r="F204" s="0" t="s">
        <v>3584</v>
      </c>
      <c r="G204" s="0" t="s">
        <v>4127</v>
      </c>
    </row>
    <row customHeight="1" ht="11.25">
      <c r="A205" s="382" t="s">
        <v>16</v>
      </c>
      <c r="B205" s="0" t="s">
        <v>4098</v>
      </c>
      <c r="C205" s="0" t="s">
        <v>4099</v>
      </c>
      <c r="D205" s="0" t="s">
        <v>4128</v>
      </c>
      <c r="E205" s="0" t="s">
        <v>4129</v>
      </c>
      <c r="F205" s="0" t="s">
        <v>3584</v>
      </c>
      <c r="G205" s="0" t="s">
        <v>4130</v>
      </c>
    </row>
    <row customHeight="1" ht="11.25">
      <c r="A206" s="382" t="s">
        <v>16</v>
      </c>
      <c r="B206" s="0" t="s">
        <v>4098</v>
      </c>
      <c r="C206" s="0" t="s">
        <v>4099</v>
      </c>
      <c r="D206" s="0" t="s">
        <v>4131</v>
      </c>
      <c r="E206" s="0" t="s">
        <v>4132</v>
      </c>
      <c r="F206" s="0" t="s">
        <v>3584</v>
      </c>
      <c r="G206" s="0" t="s">
        <v>4133</v>
      </c>
    </row>
    <row customHeight="1" ht="11.25">
      <c r="A207" s="382" t="s">
        <v>16</v>
      </c>
      <c r="B207" s="0" t="s">
        <v>4098</v>
      </c>
      <c r="C207" s="0" t="s">
        <v>4099</v>
      </c>
      <c r="D207" s="0" t="s">
        <v>4134</v>
      </c>
      <c r="E207" s="0" t="s">
        <v>4135</v>
      </c>
      <c r="F207" s="0" t="s">
        <v>3584</v>
      </c>
      <c r="G207" s="0" t="s">
        <v>4136</v>
      </c>
    </row>
    <row customHeight="1" ht="11.25">
      <c r="A208" s="382" t="s">
        <v>16</v>
      </c>
      <c r="B208" s="0" t="s">
        <v>4098</v>
      </c>
      <c r="C208" s="0" t="s">
        <v>4099</v>
      </c>
      <c r="D208" s="0" t="s">
        <v>4137</v>
      </c>
      <c r="E208" s="0" t="s">
        <v>4138</v>
      </c>
      <c r="F208" s="0" t="s">
        <v>3584</v>
      </c>
      <c r="G208" s="0" t="s">
        <v>4139</v>
      </c>
    </row>
    <row customHeight="1" ht="11.25">
      <c r="A209" s="382" t="s">
        <v>16</v>
      </c>
      <c r="B209" s="0" t="s">
        <v>4098</v>
      </c>
      <c r="C209" s="0" t="s">
        <v>4099</v>
      </c>
      <c r="D209" s="0" t="s">
        <v>4140</v>
      </c>
      <c r="E209" s="0" t="s">
        <v>4141</v>
      </c>
      <c r="F209" s="0" t="s">
        <v>3584</v>
      </c>
      <c r="G209" s="0" t="s">
        <v>4142</v>
      </c>
    </row>
    <row customHeight="1" ht="11.25">
      <c r="A210" s="382" t="s">
        <v>16</v>
      </c>
      <c r="B210" s="0" t="s">
        <v>4098</v>
      </c>
      <c r="C210" s="0" t="s">
        <v>4099</v>
      </c>
      <c r="D210" s="0" t="s">
        <v>4143</v>
      </c>
      <c r="E210" s="0" t="s">
        <v>4144</v>
      </c>
      <c r="F210" s="0" t="s">
        <v>3584</v>
      </c>
      <c r="G210" s="0" t="s">
        <v>4145</v>
      </c>
    </row>
    <row customHeight="1" ht="11.25">
      <c r="A211" s="382" t="s">
        <v>16</v>
      </c>
      <c r="B211" s="0" t="s">
        <v>4146</v>
      </c>
      <c r="C211" s="0" t="s">
        <v>4147</v>
      </c>
      <c r="D211" s="0" t="s">
        <v>4146</v>
      </c>
      <c r="E211" s="0" t="s">
        <v>4147</v>
      </c>
      <c r="F211" s="0" t="s">
        <v>3581</v>
      </c>
      <c r="G211" s="0" t="s">
        <v>4148</v>
      </c>
    </row>
    <row customHeight="1" ht="11.25">
      <c r="A212" s="382" t="s">
        <v>16</v>
      </c>
      <c r="B212" s="0" t="s">
        <v>4146</v>
      </c>
      <c r="C212" s="0" t="s">
        <v>4147</v>
      </c>
      <c r="D212" s="0" t="s">
        <v>4149</v>
      </c>
      <c r="E212" s="0" t="s">
        <v>4150</v>
      </c>
      <c r="F212" s="0" t="s">
        <v>3584</v>
      </c>
      <c r="G212" s="0" t="s">
        <v>4151</v>
      </c>
    </row>
    <row customHeight="1" ht="11.25">
      <c r="A213" s="382" t="s">
        <v>16</v>
      </c>
      <c r="B213" s="0" t="s">
        <v>4146</v>
      </c>
      <c r="C213" s="0" t="s">
        <v>4147</v>
      </c>
      <c r="D213" s="0" t="s">
        <v>4152</v>
      </c>
      <c r="E213" s="0" t="s">
        <v>4153</v>
      </c>
      <c r="F213" s="0" t="s">
        <v>3584</v>
      </c>
      <c r="G213" s="0" t="s">
        <v>4154</v>
      </c>
    </row>
    <row customHeight="1" ht="11.25">
      <c r="A214" s="382" t="s">
        <v>16</v>
      </c>
      <c r="B214" s="0" t="s">
        <v>4146</v>
      </c>
      <c r="C214" s="0" t="s">
        <v>4147</v>
      </c>
      <c r="D214" s="0" t="s">
        <v>4155</v>
      </c>
      <c r="E214" s="0" t="s">
        <v>4156</v>
      </c>
      <c r="F214" s="0" t="s">
        <v>3584</v>
      </c>
      <c r="G214" s="0" t="s">
        <v>4157</v>
      </c>
    </row>
    <row customHeight="1" ht="11.25">
      <c r="A215" s="382" t="s">
        <v>16</v>
      </c>
      <c r="B215" s="0" t="s">
        <v>4146</v>
      </c>
      <c r="C215" s="0" t="s">
        <v>4147</v>
      </c>
      <c r="D215" s="0" t="s">
        <v>4158</v>
      </c>
      <c r="E215" s="0" t="s">
        <v>4159</v>
      </c>
      <c r="F215" s="0" t="s">
        <v>3584</v>
      </c>
      <c r="G215" s="0" t="s">
        <v>4160</v>
      </c>
    </row>
    <row customHeight="1" ht="11.25">
      <c r="A216" s="382" t="s">
        <v>16</v>
      </c>
      <c r="B216" s="0" t="s">
        <v>4146</v>
      </c>
      <c r="C216" s="0" t="s">
        <v>4147</v>
      </c>
      <c r="D216" s="0" t="s">
        <v>4161</v>
      </c>
      <c r="E216" s="0" t="s">
        <v>4162</v>
      </c>
      <c r="F216" s="0" t="s">
        <v>3584</v>
      </c>
      <c r="G216" s="0" t="s">
        <v>4163</v>
      </c>
    </row>
    <row customHeight="1" ht="11.25">
      <c r="A217" s="382" t="s">
        <v>16</v>
      </c>
      <c r="B217" s="0" t="s">
        <v>4146</v>
      </c>
      <c r="C217" s="0" t="s">
        <v>4147</v>
      </c>
      <c r="D217" s="0" t="s">
        <v>4164</v>
      </c>
      <c r="E217" s="0" t="s">
        <v>4165</v>
      </c>
      <c r="F217" s="0" t="s">
        <v>3584</v>
      </c>
      <c r="G217" s="0" t="s">
        <v>4166</v>
      </c>
    </row>
    <row customHeight="1" ht="11.25">
      <c r="A218" s="382" t="s">
        <v>16</v>
      </c>
      <c r="B218" s="0" t="s">
        <v>4146</v>
      </c>
      <c r="C218" s="0" t="s">
        <v>4147</v>
      </c>
      <c r="D218" s="0" t="s">
        <v>4167</v>
      </c>
      <c r="E218" s="0" t="s">
        <v>4168</v>
      </c>
      <c r="F218" s="0" t="s">
        <v>3584</v>
      </c>
      <c r="G218" s="0" t="s">
        <v>4169</v>
      </c>
    </row>
    <row customHeight="1" ht="11.25">
      <c r="A219" s="382" t="s">
        <v>16</v>
      </c>
      <c r="B219" s="0" t="s">
        <v>4170</v>
      </c>
      <c r="C219" s="0" t="s">
        <v>4171</v>
      </c>
      <c r="D219" s="0" t="s">
        <v>4170</v>
      </c>
      <c r="E219" s="0" t="s">
        <v>4171</v>
      </c>
      <c r="F219" s="0" t="s">
        <v>3581</v>
      </c>
      <c r="G219" s="0" t="s">
        <v>4172</v>
      </c>
    </row>
    <row customHeight="1" ht="11.25">
      <c r="A220" s="382" t="s">
        <v>16</v>
      </c>
      <c r="B220" s="0" t="s">
        <v>4170</v>
      </c>
      <c r="C220" s="0" t="s">
        <v>4171</v>
      </c>
      <c r="D220" s="0" t="s">
        <v>4173</v>
      </c>
      <c r="E220" s="0" t="s">
        <v>4174</v>
      </c>
      <c r="F220" s="0" t="s">
        <v>3597</v>
      </c>
      <c r="G220" s="0" t="s">
        <v>4175</v>
      </c>
    </row>
    <row customHeight="1" ht="11.25">
      <c r="A221" s="382" t="s">
        <v>16</v>
      </c>
      <c r="B221" s="0" t="s">
        <v>4170</v>
      </c>
      <c r="C221" s="0" t="s">
        <v>4171</v>
      </c>
      <c r="D221" s="0" t="s">
        <v>4176</v>
      </c>
      <c r="E221" s="0" t="s">
        <v>4177</v>
      </c>
      <c r="F221" s="0" t="s">
        <v>3584</v>
      </c>
      <c r="G221" s="0" t="s">
        <v>4178</v>
      </c>
    </row>
    <row customHeight="1" ht="11.25">
      <c r="A222" s="382" t="s">
        <v>16</v>
      </c>
      <c r="B222" s="0" t="s">
        <v>4170</v>
      </c>
      <c r="C222" s="0" t="s">
        <v>4171</v>
      </c>
      <c r="D222" s="0" t="s">
        <v>4179</v>
      </c>
      <c r="E222" s="0" t="s">
        <v>4180</v>
      </c>
      <c r="F222" s="0" t="s">
        <v>3584</v>
      </c>
      <c r="G222" s="0" t="s">
        <v>4181</v>
      </c>
    </row>
    <row customHeight="1" ht="11.25">
      <c r="A223" s="382" t="s">
        <v>16</v>
      </c>
      <c r="B223" s="0" t="s">
        <v>4170</v>
      </c>
      <c r="C223" s="0" t="s">
        <v>4171</v>
      </c>
      <c r="D223" s="0" t="s">
        <v>4182</v>
      </c>
      <c r="E223" s="0" t="s">
        <v>4183</v>
      </c>
      <c r="F223" s="0" t="s">
        <v>3584</v>
      </c>
      <c r="G223" s="0" t="s">
        <v>4184</v>
      </c>
    </row>
    <row customHeight="1" ht="11.25">
      <c r="A224" s="382" t="s">
        <v>16</v>
      </c>
      <c r="B224" s="0" t="s">
        <v>4170</v>
      </c>
      <c r="C224" s="0" t="s">
        <v>4171</v>
      </c>
      <c r="D224" s="0" t="s">
        <v>4185</v>
      </c>
      <c r="E224" s="0" t="s">
        <v>4186</v>
      </c>
      <c r="F224" s="0" t="s">
        <v>3584</v>
      </c>
      <c r="G224" s="0" t="s">
        <v>4187</v>
      </c>
    </row>
    <row customHeight="1" ht="11.25">
      <c r="A225" s="382" t="s">
        <v>16</v>
      </c>
      <c r="B225" s="0" t="s">
        <v>4170</v>
      </c>
      <c r="C225" s="0" t="s">
        <v>4171</v>
      </c>
      <c r="D225" s="0" t="s">
        <v>4188</v>
      </c>
      <c r="E225" s="0" t="s">
        <v>4189</v>
      </c>
      <c r="F225" s="0" t="s">
        <v>3584</v>
      </c>
      <c r="G225" s="0" t="s">
        <v>4190</v>
      </c>
    </row>
    <row customHeight="1" ht="11.25">
      <c r="A226" s="382" t="s">
        <v>16</v>
      </c>
      <c r="B226" s="0" t="s">
        <v>4170</v>
      </c>
      <c r="C226" s="0" t="s">
        <v>4171</v>
      </c>
      <c r="D226" s="0" t="s">
        <v>4191</v>
      </c>
      <c r="E226" s="0" t="s">
        <v>4192</v>
      </c>
      <c r="F226" s="0" t="s">
        <v>3584</v>
      </c>
      <c r="G226" s="0" t="s">
        <v>4193</v>
      </c>
    </row>
    <row customHeight="1" ht="11.25">
      <c r="A227" s="382" t="s">
        <v>16</v>
      </c>
      <c r="B227" s="0" t="s">
        <v>4170</v>
      </c>
      <c r="C227" s="0" t="s">
        <v>4171</v>
      </c>
      <c r="D227" s="0" t="s">
        <v>4194</v>
      </c>
      <c r="E227" s="0" t="s">
        <v>4195</v>
      </c>
      <c r="F227" s="0" t="s">
        <v>3584</v>
      </c>
      <c r="G227" s="0" t="s">
        <v>4196</v>
      </c>
    </row>
    <row customHeight="1" ht="11.25">
      <c r="A228" s="382" t="s">
        <v>16</v>
      </c>
      <c r="B228" s="0" t="s">
        <v>4170</v>
      </c>
      <c r="C228" s="0" t="s">
        <v>4171</v>
      </c>
      <c r="D228" s="0" t="s">
        <v>4197</v>
      </c>
      <c r="E228" s="0" t="s">
        <v>4198</v>
      </c>
      <c r="F228" s="0" t="s">
        <v>3584</v>
      </c>
      <c r="G228" s="0" t="s">
        <v>4199</v>
      </c>
    </row>
    <row customHeight="1" ht="11.25">
      <c r="A229" s="382" t="s">
        <v>16</v>
      </c>
      <c r="B229" s="0" t="s">
        <v>4170</v>
      </c>
      <c r="C229" s="0" t="s">
        <v>4171</v>
      </c>
      <c r="D229" s="0" t="s">
        <v>4200</v>
      </c>
      <c r="E229" s="0" t="s">
        <v>4201</v>
      </c>
      <c r="F229" s="0" t="s">
        <v>3584</v>
      </c>
      <c r="G229" s="0" t="s">
        <v>4202</v>
      </c>
    </row>
    <row customHeight="1" ht="11.25">
      <c r="A230" s="382" t="s">
        <v>16</v>
      </c>
      <c r="B230" s="0" t="s">
        <v>4170</v>
      </c>
      <c r="C230" s="0" t="s">
        <v>4171</v>
      </c>
      <c r="D230" s="0" t="s">
        <v>4203</v>
      </c>
      <c r="E230" s="0" t="s">
        <v>4204</v>
      </c>
      <c r="F230" s="0" t="s">
        <v>3584</v>
      </c>
      <c r="G230" s="0" t="s">
        <v>4205</v>
      </c>
    </row>
    <row customHeight="1" ht="11.25">
      <c r="A231" s="382" t="s">
        <v>16</v>
      </c>
      <c r="B231" s="0" t="s">
        <v>4170</v>
      </c>
      <c r="C231" s="0" t="s">
        <v>4171</v>
      </c>
      <c r="D231" s="0" t="s">
        <v>4206</v>
      </c>
      <c r="E231" s="0" t="s">
        <v>4207</v>
      </c>
      <c r="F231" s="0" t="s">
        <v>3584</v>
      </c>
      <c r="G231" s="0" t="s">
        <v>4208</v>
      </c>
    </row>
    <row customHeight="1" ht="11.25">
      <c r="A232" s="382" t="s">
        <v>16</v>
      </c>
      <c r="B232" s="0" t="s">
        <v>4170</v>
      </c>
      <c r="C232" s="0" t="s">
        <v>4171</v>
      </c>
      <c r="D232" s="0" t="s">
        <v>4209</v>
      </c>
      <c r="E232" s="0" t="s">
        <v>4210</v>
      </c>
      <c r="F232" s="0" t="s">
        <v>3584</v>
      </c>
      <c r="G232" s="0" t="s">
        <v>4211</v>
      </c>
    </row>
    <row customHeight="1" ht="11.25">
      <c r="A233" s="382" t="s">
        <v>16</v>
      </c>
      <c r="B233" s="0" t="s">
        <v>4170</v>
      </c>
      <c r="C233" s="0" t="s">
        <v>4171</v>
      </c>
      <c r="D233" s="0" t="s">
        <v>4212</v>
      </c>
      <c r="E233" s="0" t="s">
        <v>4213</v>
      </c>
      <c r="F233" s="0" t="s">
        <v>3584</v>
      </c>
      <c r="G233" s="0" t="s">
        <v>4214</v>
      </c>
    </row>
    <row customHeight="1" ht="11.25">
      <c r="A234" s="382" t="s">
        <v>16</v>
      </c>
      <c r="B234" s="0" t="s">
        <v>4170</v>
      </c>
      <c r="C234" s="0" t="s">
        <v>4171</v>
      </c>
      <c r="D234" s="0" t="s">
        <v>4215</v>
      </c>
      <c r="E234" s="0" t="s">
        <v>4216</v>
      </c>
      <c r="F234" s="0" t="s">
        <v>3584</v>
      </c>
      <c r="G234" s="0" t="s">
        <v>4217</v>
      </c>
    </row>
    <row customHeight="1" ht="11.25">
      <c r="A235" s="382" t="s">
        <v>16</v>
      </c>
      <c r="B235" s="0" t="s">
        <v>4170</v>
      </c>
      <c r="C235" s="0" t="s">
        <v>4171</v>
      </c>
      <c r="D235" s="0" t="s">
        <v>4218</v>
      </c>
      <c r="E235" s="0" t="s">
        <v>4219</v>
      </c>
      <c r="F235" s="0" t="s">
        <v>3584</v>
      </c>
      <c r="G235" s="0" t="s">
        <v>4220</v>
      </c>
    </row>
    <row customHeight="1" ht="11.25">
      <c r="A236" s="382" t="s">
        <v>16</v>
      </c>
      <c r="B236" s="0" t="s">
        <v>4170</v>
      </c>
      <c r="C236" s="0" t="s">
        <v>4171</v>
      </c>
      <c r="D236" s="0" t="s">
        <v>3855</v>
      </c>
      <c r="E236" s="0" t="s">
        <v>4221</v>
      </c>
      <c r="F236" s="0" t="s">
        <v>3584</v>
      </c>
      <c r="G236" s="0" t="s">
        <v>4222</v>
      </c>
    </row>
    <row customHeight="1" ht="11.25">
      <c r="A237" s="382" t="s">
        <v>16</v>
      </c>
      <c r="B237" s="0" t="s">
        <v>4223</v>
      </c>
      <c r="C237" s="0" t="s">
        <v>4224</v>
      </c>
      <c r="D237" s="0" t="s">
        <v>4223</v>
      </c>
      <c r="E237" s="0" t="s">
        <v>4224</v>
      </c>
      <c r="F237" s="0" t="s">
        <v>3581</v>
      </c>
      <c r="G237" s="0" t="s">
        <v>4225</v>
      </c>
    </row>
    <row customHeight="1" ht="11.25">
      <c r="A238" s="382" t="s">
        <v>16</v>
      </c>
      <c r="B238" s="0" t="s">
        <v>4223</v>
      </c>
      <c r="C238" s="0" t="s">
        <v>4224</v>
      </c>
      <c r="D238" s="0" t="s">
        <v>3634</v>
      </c>
      <c r="E238" s="0" t="s">
        <v>4226</v>
      </c>
      <c r="F238" s="0" t="s">
        <v>3584</v>
      </c>
      <c r="G238" s="0" t="s">
        <v>4227</v>
      </c>
    </row>
    <row customHeight="1" ht="11.25">
      <c r="A239" s="382" t="s">
        <v>16</v>
      </c>
      <c r="B239" s="0" t="s">
        <v>4223</v>
      </c>
      <c r="C239" s="0" t="s">
        <v>4224</v>
      </c>
      <c r="D239" s="0" t="s">
        <v>4228</v>
      </c>
      <c r="E239" s="0" t="s">
        <v>4229</v>
      </c>
      <c r="F239" s="0" t="s">
        <v>3584</v>
      </c>
      <c r="G239" s="0" t="s">
        <v>4230</v>
      </c>
    </row>
    <row customHeight="1" ht="11.25">
      <c r="A240" s="382" t="s">
        <v>16</v>
      </c>
      <c r="B240" s="0" t="s">
        <v>4223</v>
      </c>
      <c r="C240" s="0" t="s">
        <v>4224</v>
      </c>
      <c r="D240" s="0" t="s">
        <v>4231</v>
      </c>
      <c r="E240" s="0" t="s">
        <v>4232</v>
      </c>
      <c r="F240" s="0" t="s">
        <v>3584</v>
      </c>
      <c r="G240" s="0" t="s">
        <v>4233</v>
      </c>
    </row>
    <row customHeight="1" ht="11.25">
      <c r="A241" s="382" t="s">
        <v>16</v>
      </c>
      <c r="B241" s="0" t="s">
        <v>4223</v>
      </c>
      <c r="C241" s="0" t="s">
        <v>4224</v>
      </c>
      <c r="D241" s="0" t="s">
        <v>3600</v>
      </c>
      <c r="E241" s="0" t="s">
        <v>4234</v>
      </c>
      <c r="F241" s="0" t="s">
        <v>3584</v>
      </c>
      <c r="G241" s="0" t="s">
        <v>4235</v>
      </c>
    </row>
    <row customHeight="1" ht="11.25">
      <c r="A242" s="382" t="s">
        <v>16</v>
      </c>
      <c r="B242" s="0" t="s">
        <v>4223</v>
      </c>
      <c r="C242" s="0" t="s">
        <v>4224</v>
      </c>
      <c r="D242" s="0" t="s">
        <v>4236</v>
      </c>
      <c r="E242" s="0" t="s">
        <v>4237</v>
      </c>
      <c r="F242" s="0" t="s">
        <v>3584</v>
      </c>
      <c r="G242" s="0" t="s">
        <v>4238</v>
      </c>
    </row>
    <row customHeight="1" ht="11.25">
      <c r="A243" s="382" t="s">
        <v>16</v>
      </c>
      <c r="B243" s="0" t="s">
        <v>4223</v>
      </c>
      <c r="C243" s="0" t="s">
        <v>4224</v>
      </c>
      <c r="D243" s="0" t="s">
        <v>4239</v>
      </c>
      <c r="E243" s="0" t="s">
        <v>4240</v>
      </c>
      <c r="F243" s="0" t="s">
        <v>3584</v>
      </c>
      <c r="G243" s="0" t="s">
        <v>4241</v>
      </c>
    </row>
    <row customHeight="1" ht="11.25">
      <c r="A244" s="382" t="s">
        <v>16</v>
      </c>
      <c r="B244" s="0" t="s">
        <v>4223</v>
      </c>
      <c r="C244" s="0" t="s">
        <v>4224</v>
      </c>
      <c r="D244" s="0" t="s">
        <v>4242</v>
      </c>
      <c r="E244" s="0" t="s">
        <v>4243</v>
      </c>
      <c r="F244" s="0" t="s">
        <v>3584</v>
      </c>
      <c r="G244" s="0" t="s">
        <v>4244</v>
      </c>
    </row>
    <row customHeight="1" ht="11.25">
      <c r="A245" s="382" t="s">
        <v>16</v>
      </c>
      <c r="B245" s="0" t="s">
        <v>4223</v>
      </c>
      <c r="C245" s="0" t="s">
        <v>4224</v>
      </c>
      <c r="D245" s="0" t="s">
        <v>4245</v>
      </c>
      <c r="E245" s="0" t="s">
        <v>4246</v>
      </c>
      <c r="F245" s="0" t="s">
        <v>3584</v>
      </c>
      <c r="G245" s="0" t="s">
        <v>4247</v>
      </c>
    </row>
    <row customHeight="1" ht="11.25">
      <c r="A246" s="382" t="s">
        <v>16</v>
      </c>
      <c r="B246" s="0" t="s">
        <v>4223</v>
      </c>
      <c r="C246" s="0" t="s">
        <v>4224</v>
      </c>
      <c r="D246" s="0" t="s">
        <v>4248</v>
      </c>
      <c r="E246" s="0" t="s">
        <v>4249</v>
      </c>
      <c r="F246" s="0" t="s">
        <v>3584</v>
      </c>
      <c r="G246" s="0" t="s">
        <v>4250</v>
      </c>
    </row>
    <row customHeight="1" ht="11.25">
      <c r="A247" s="382" t="s">
        <v>16</v>
      </c>
      <c r="B247" s="0" t="s">
        <v>4223</v>
      </c>
      <c r="C247" s="0" t="s">
        <v>4224</v>
      </c>
      <c r="D247" s="0" t="s">
        <v>4251</v>
      </c>
      <c r="E247" s="0" t="s">
        <v>4252</v>
      </c>
      <c r="F247" s="0" t="s">
        <v>3584</v>
      </c>
      <c r="G247" s="0" t="s">
        <v>4253</v>
      </c>
    </row>
    <row customHeight="1" ht="11.25">
      <c r="A248" s="382" t="s">
        <v>16</v>
      </c>
      <c r="B248" s="0" t="s">
        <v>4223</v>
      </c>
      <c r="C248" s="0" t="s">
        <v>4224</v>
      </c>
      <c r="D248" s="0" t="s">
        <v>4254</v>
      </c>
      <c r="E248" s="0" t="s">
        <v>4255</v>
      </c>
      <c r="F248" s="0" t="s">
        <v>3584</v>
      </c>
      <c r="G248" s="0" t="s">
        <v>4256</v>
      </c>
    </row>
    <row customHeight="1" ht="11.25">
      <c r="A249" s="382" t="s">
        <v>16</v>
      </c>
      <c r="B249" s="0" t="s">
        <v>4223</v>
      </c>
      <c r="C249" s="0" t="s">
        <v>4224</v>
      </c>
      <c r="D249" s="0" t="s">
        <v>4257</v>
      </c>
      <c r="E249" s="0" t="s">
        <v>4258</v>
      </c>
      <c r="F249" s="0" t="s">
        <v>3584</v>
      </c>
      <c r="G249" s="0" t="s">
        <v>4259</v>
      </c>
    </row>
    <row customHeight="1" ht="11.25">
      <c r="A250" s="382" t="s">
        <v>16</v>
      </c>
      <c r="B250" s="0" t="s">
        <v>4223</v>
      </c>
      <c r="C250" s="0" t="s">
        <v>4224</v>
      </c>
      <c r="D250" s="0" t="s">
        <v>4260</v>
      </c>
      <c r="E250" s="0" t="s">
        <v>4261</v>
      </c>
      <c r="F250" s="0" t="s">
        <v>3584</v>
      </c>
      <c r="G250" s="0" t="s">
        <v>4262</v>
      </c>
    </row>
    <row customHeight="1" ht="11.25">
      <c r="A251" s="382" t="s">
        <v>16</v>
      </c>
      <c r="B251" s="0" t="s">
        <v>4223</v>
      </c>
      <c r="C251" s="0" t="s">
        <v>4224</v>
      </c>
      <c r="D251" s="0" t="s">
        <v>4263</v>
      </c>
      <c r="E251" s="0" t="s">
        <v>4264</v>
      </c>
      <c r="F251" s="0" t="s">
        <v>3584</v>
      </c>
      <c r="G251" s="0" t="s">
        <v>4265</v>
      </c>
    </row>
    <row customHeight="1" ht="11.25">
      <c r="A252" s="382" t="s">
        <v>16</v>
      </c>
      <c r="B252" s="0" t="s">
        <v>4223</v>
      </c>
      <c r="C252" s="0" t="s">
        <v>4224</v>
      </c>
      <c r="D252" s="0" t="s">
        <v>4266</v>
      </c>
      <c r="E252" s="0" t="s">
        <v>4267</v>
      </c>
      <c r="F252" s="0" t="s">
        <v>3584</v>
      </c>
      <c r="G252" s="0" t="s">
        <v>4268</v>
      </c>
    </row>
    <row customHeight="1" ht="11.25">
      <c r="A253" s="382" t="s">
        <v>16</v>
      </c>
      <c r="B253" s="0" t="s">
        <v>4223</v>
      </c>
      <c r="C253" s="0" t="s">
        <v>4224</v>
      </c>
      <c r="D253" s="0" t="s">
        <v>4269</v>
      </c>
      <c r="E253" s="0" t="s">
        <v>4270</v>
      </c>
      <c r="F253" s="0" t="s">
        <v>3584</v>
      </c>
      <c r="G253" s="0" t="s">
        <v>4271</v>
      </c>
    </row>
    <row customHeight="1" ht="11.25">
      <c r="A254" s="382" t="s">
        <v>16</v>
      </c>
      <c r="B254" s="0" t="s">
        <v>4223</v>
      </c>
      <c r="C254" s="0" t="s">
        <v>4224</v>
      </c>
      <c r="D254" s="0" t="s">
        <v>4272</v>
      </c>
      <c r="E254" s="0" t="s">
        <v>4273</v>
      </c>
      <c r="F254" s="0" t="s">
        <v>3584</v>
      </c>
      <c r="G254" s="0" t="s">
        <v>4274</v>
      </c>
    </row>
    <row customHeight="1" ht="11.25">
      <c r="A255" s="382" t="s">
        <v>16</v>
      </c>
      <c r="B255" s="0" t="s">
        <v>4223</v>
      </c>
      <c r="C255" s="0" t="s">
        <v>4224</v>
      </c>
      <c r="D255" s="0" t="s">
        <v>4275</v>
      </c>
      <c r="E255" s="0" t="s">
        <v>4276</v>
      </c>
      <c r="F255" s="0" t="s">
        <v>3584</v>
      </c>
      <c r="G255" s="0" t="s">
        <v>4277</v>
      </c>
    </row>
    <row customHeight="1" ht="11.25">
      <c r="A256" s="382" t="s">
        <v>16</v>
      </c>
      <c r="B256" s="0" t="s">
        <v>4223</v>
      </c>
      <c r="C256" s="0" t="s">
        <v>4224</v>
      </c>
      <c r="D256" s="0" t="s">
        <v>4278</v>
      </c>
      <c r="E256" s="0" t="s">
        <v>4279</v>
      </c>
      <c r="F256" s="0" t="s">
        <v>3584</v>
      </c>
      <c r="G256" s="0" t="s">
        <v>4280</v>
      </c>
    </row>
    <row customHeight="1" ht="11.25">
      <c r="A257" s="382" t="s">
        <v>16</v>
      </c>
      <c r="B257" s="0" t="s">
        <v>4223</v>
      </c>
      <c r="C257" s="0" t="s">
        <v>4224</v>
      </c>
      <c r="D257" s="0" t="s">
        <v>4281</v>
      </c>
      <c r="E257" s="0" t="s">
        <v>4282</v>
      </c>
      <c r="F257" s="0" t="s">
        <v>3584</v>
      </c>
      <c r="G257" s="0" t="s">
        <v>4283</v>
      </c>
    </row>
    <row customHeight="1" ht="11.25">
      <c r="A258" s="382" t="s">
        <v>16</v>
      </c>
      <c r="B258" s="0" t="s">
        <v>4223</v>
      </c>
      <c r="C258" s="0" t="s">
        <v>4224</v>
      </c>
      <c r="D258" s="0" t="s">
        <v>4284</v>
      </c>
      <c r="E258" s="0" t="s">
        <v>4285</v>
      </c>
      <c r="F258" s="0" t="s">
        <v>3584</v>
      </c>
      <c r="G258" s="0" t="s">
        <v>4286</v>
      </c>
    </row>
    <row customHeight="1" ht="11.25">
      <c r="A259" s="382" t="s">
        <v>16</v>
      </c>
      <c r="B259" s="0" t="s">
        <v>4223</v>
      </c>
      <c r="C259" s="0" t="s">
        <v>4224</v>
      </c>
      <c r="D259" s="0" t="s">
        <v>4287</v>
      </c>
      <c r="E259" s="0" t="s">
        <v>4288</v>
      </c>
      <c r="F259" s="0" t="s">
        <v>3584</v>
      </c>
      <c r="G259" s="0" t="s">
        <v>4289</v>
      </c>
    </row>
    <row customHeight="1" ht="11.25">
      <c r="A260" s="382" t="s">
        <v>16</v>
      </c>
      <c r="B260" s="0" t="s">
        <v>4223</v>
      </c>
      <c r="C260" s="0" t="s">
        <v>4224</v>
      </c>
      <c r="D260" s="0" t="s">
        <v>4290</v>
      </c>
      <c r="E260" s="0" t="s">
        <v>4291</v>
      </c>
      <c r="F260" s="0" t="s">
        <v>3584</v>
      </c>
      <c r="G260" s="0" t="s">
        <v>4292</v>
      </c>
    </row>
    <row customHeight="1" ht="11.25">
      <c r="A261" s="382" t="s">
        <v>16</v>
      </c>
      <c r="B261" s="0" t="s">
        <v>4223</v>
      </c>
      <c r="C261" s="0" t="s">
        <v>4224</v>
      </c>
      <c r="D261" s="0" t="s">
        <v>4293</v>
      </c>
      <c r="E261" s="0" t="s">
        <v>4294</v>
      </c>
      <c r="F261" s="0" t="s">
        <v>3584</v>
      </c>
      <c r="G261" s="0" t="s">
        <v>4295</v>
      </c>
    </row>
    <row customHeight="1" ht="11.25">
      <c r="A262" s="382" t="s">
        <v>16</v>
      </c>
      <c r="B262" s="0" t="s">
        <v>4296</v>
      </c>
      <c r="C262" s="0" t="s">
        <v>4297</v>
      </c>
      <c r="D262" s="0" t="s">
        <v>4296</v>
      </c>
      <c r="E262" s="0" t="s">
        <v>4297</v>
      </c>
      <c r="F262" s="0" t="s">
        <v>3581</v>
      </c>
      <c r="G262" s="0" t="s">
        <v>4298</v>
      </c>
    </row>
    <row customHeight="1" ht="11.25">
      <c r="A263" s="382" t="s">
        <v>16</v>
      </c>
      <c r="B263" s="0" t="s">
        <v>4296</v>
      </c>
      <c r="C263" s="0" t="s">
        <v>4297</v>
      </c>
      <c r="D263" s="0" t="s">
        <v>4299</v>
      </c>
      <c r="E263" s="0" t="s">
        <v>4300</v>
      </c>
      <c r="F263" s="0" t="s">
        <v>3597</v>
      </c>
      <c r="G263" s="0" t="s">
        <v>4301</v>
      </c>
    </row>
    <row customHeight="1" ht="11.25">
      <c r="A264" s="382" t="s">
        <v>16</v>
      </c>
      <c r="B264" s="0" t="s">
        <v>4296</v>
      </c>
      <c r="C264" s="0" t="s">
        <v>4297</v>
      </c>
      <c r="D264" s="0" t="s">
        <v>4302</v>
      </c>
      <c r="E264" s="0" t="s">
        <v>4303</v>
      </c>
      <c r="F264" s="0" t="s">
        <v>3597</v>
      </c>
      <c r="G264" s="0" t="s">
        <v>4304</v>
      </c>
    </row>
    <row customHeight="1" ht="11.25">
      <c r="A265" s="382" t="s">
        <v>16</v>
      </c>
      <c r="B265" s="0" t="s">
        <v>4296</v>
      </c>
      <c r="C265" s="0" t="s">
        <v>4297</v>
      </c>
      <c r="D265" s="0" t="s">
        <v>4305</v>
      </c>
      <c r="E265" s="0" t="s">
        <v>4306</v>
      </c>
      <c r="F265" s="0" t="s">
        <v>3584</v>
      </c>
      <c r="G265" s="0" t="s">
        <v>4307</v>
      </c>
    </row>
    <row customHeight="1" ht="11.25">
      <c r="A266" s="382" t="s">
        <v>16</v>
      </c>
      <c r="B266" s="0" t="s">
        <v>4296</v>
      </c>
      <c r="C266" s="0" t="s">
        <v>4297</v>
      </c>
      <c r="D266" s="0" t="s">
        <v>4308</v>
      </c>
      <c r="E266" s="0" t="s">
        <v>4309</v>
      </c>
      <c r="F266" s="0" t="s">
        <v>3584</v>
      </c>
      <c r="G266" s="0" t="s">
        <v>4310</v>
      </c>
    </row>
    <row customHeight="1" ht="11.25">
      <c r="A267" s="382" t="s">
        <v>16</v>
      </c>
      <c r="B267" s="0" t="s">
        <v>4296</v>
      </c>
      <c r="C267" s="0" t="s">
        <v>4297</v>
      </c>
      <c r="D267" s="0" t="s">
        <v>4311</v>
      </c>
      <c r="E267" s="0" t="s">
        <v>4312</v>
      </c>
      <c r="F267" s="0" t="s">
        <v>3584</v>
      </c>
      <c r="G267" s="0" t="s">
        <v>4313</v>
      </c>
    </row>
    <row customHeight="1" ht="11.25">
      <c r="A268" s="382" t="s">
        <v>16</v>
      </c>
      <c r="B268" s="0" t="s">
        <v>4296</v>
      </c>
      <c r="C268" s="0" t="s">
        <v>4297</v>
      </c>
      <c r="D268" s="0" t="s">
        <v>4314</v>
      </c>
      <c r="E268" s="0" t="s">
        <v>4315</v>
      </c>
      <c r="F268" s="0" t="s">
        <v>3584</v>
      </c>
      <c r="G268" s="0" t="s">
        <v>4316</v>
      </c>
    </row>
    <row customHeight="1" ht="11.25">
      <c r="A269" s="382" t="s">
        <v>16</v>
      </c>
      <c r="B269" s="0" t="s">
        <v>4296</v>
      </c>
      <c r="C269" s="0" t="s">
        <v>4297</v>
      </c>
      <c r="D269" s="0" t="s">
        <v>4317</v>
      </c>
      <c r="E269" s="0" t="s">
        <v>4318</v>
      </c>
      <c r="F269" s="0" t="s">
        <v>3584</v>
      </c>
      <c r="G269" s="0" t="s">
        <v>4319</v>
      </c>
    </row>
    <row customHeight="1" ht="11.25">
      <c r="A270" s="382" t="s">
        <v>16</v>
      </c>
      <c r="B270" s="0" t="s">
        <v>4296</v>
      </c>
      <c r="C270" s="0" t="s">
        <v>4297</v>
      </c>
      <c r="D270" s="0" t="s">
        <v>4320</v>
      </c>
      <c r="E270" s="0" t="s">
        <v>4321</v>
      </c>
      <c r="F270" s="0" t="s">
        <v>3584</v>
      </c>
      <c r="G270" s="0" t="s">
        <v>4322</v>
      </c>
    </row>
    <row customHeight="1" ht="11.25">
      <c r="A271" s="382" t="s">
        <v>16</v>
      </c>
      <c r="B271" s="0" t="s">
        <v>4296</v>
      </c>
      <c r="C271" s="0" t="s">
        <v>4297</v>
      </c>
      <c r="D271" s="0" t="s">
        <v>4323</v>
      </c>
      <c r="E271" s="0" t="s">
        <v>4324</v>
      </c>
      <c r="F271" s="0" t="s">
        <v>3584</v>
      </c>
      <c r="G271" s="0" t="s">
        <v>4325</v>
      </c>
    </row>
    <row customHeight="1" ht="11.25">
      <c r="A272" s="382" t="s">
        <v>16</v>
      </c>
      <c r="B272" s="0" t="s">
        <v>4296</v>
      </c>
      <c r="C272" s="0" t="s">
        <v>4297</v>
      </c>
      <c r="D272" s="0" t="s">
        <v>4326</v>
      </c>
      <c r="E272" s="0" t="s">
        <v>4327</v>
      </c>
      <c r="F272" s="0" t="s">
        <v>3584</v>
      </c>
      <c r="G272" s="0" t="s">
        <v>4328</v>
      </c>
    </row>
    <row customHeight="1" ht="11.25">
      <c r="A273" s="382" t="s">
        <v>16</v>
      </c>
      <c r="B273" s="0" t="s">
        <v>4296</v>
      </c>
      <c r="C273" s="0" t="s">
        <v>4297</v>
      </c>
      <c r="D273" s="0" t="s">
        <v>4329</v>
      </c>
      <c r="E273" s="0" t="s">
        <v>4330</v>
      </c>
      <c r="F273" s="0" t="s">
        <v>3584</v>
      </c>
      <c r="G273" s="0" t="s">
        <v>4331</v>
      </c>
    </row>
    <row customHeight="1" ht="11.25">
      <c r="A274" s="382" t="s">
        <v>16</v>
      </c>
      <c r="B274" s="0" t="s">
        <v>4296</v>
      </c>
      <c r="C274" s="0" t="s">
        <v>4297</v>
      </c>
      <c r="D274" s="0" t="s">
        <v>4332</v>
      </c>
      <c r="E274" s="0" t="s">
        <v>4333</v>
      </c>
      <c r="F274" s="0" t="s">
        <v>3584</v>
      </c>
      <c r="G274" s="0" t="s">
        <v>4334</v>
      </c>
    </row>
    <row customHeight="1" ht="11.25">
      <c r="A275" s="382" t="s">
        <v>16</v>
      </c>
      <c r="B275" s="0" t="s">
        <v>4296</v>
      </c>
      <c r="C275" s="0" t="s">
        <v>4297</v>
      </c>
      <c r="D275" s="0" t="s">
        <v>4335</v>
      </c>
      <c r="E275" s="0" t="s">
        <v>4336</v>
      </c>
      <c r="F275" s="0" t="s">
        <v>3584</v>
      </c>
      <c r="G275" s="0" t="s">
        <v>4337</v>
      </c>
    </row>
    <row customHeight="1" ht="11.25">
      <c r="A276" s="382" t="s">
        <v>16</v>
      </c>
      <c r="B276" s="0" t="s">
        <v>4296</v>
      </c>
      <c r="C276" s="0" t="s">
        <v>4297</v>
      </c>
      <c r="D276" s="0" t="s">
        <v>4338</v>
      </c>
      <c r="E276" s="0" t="s">
        <v>4339</v>
      </c>
      <c r="F276" s="0" t="s">
        <v>3584</v>
      </c>
      <c r="G276" s="0" t="s">
        <v>4340</v>
      </c>
    </row>
    <row customHeight="1" ht="11.25">
      <c r="A277" s="382" t="s">
        <v>16</v>
      </c>
      <c r="B277" s="0" t="s">
        <v>4296</v>
      </c>
      <c r="C277" s="0" t="s">
        <v>4297</v>
      </c>
      <c r="D277" s="0" t="s">
        <v>4341</v>
      </c>
      <c r="E277" s="0" t="s">
        <v>4342</v>
      </c>
      <c r="F277" s="0" t="s">
        <v>3584</v>
      </c>
      <c r="G277" s="0" t="s">
        <v>4343</v>
      </c>
    </row>
    <row customHeight="1" ht="11.25">
      <c r="A278" s="382" t="s">
        <v>16</v>
      </c>
      <c r="B278" s="0" t="s">
        <v>4344</v>
      </c>
      <c r="C278" s="0" t="s">
        <v>4345</v>
      </c>
      <c r="D278" s="0" t="s">
        <v>4344</v>
      </c>
      <c r="E278" s="0" t="s">
        <v>4345</v>
      </c>
      <c r="F278" s="0" t="s">
        <v>3581</v>
      </c>
      <c r="G278" s="0" t="s">
        <v>4346</v>
      </c>
    </row>
    <row customHeight="1" ht="11.25">
      <c r="A279" s="382" t="s">
        <v>16</v>
      </c>
      <c r="B279" s="0" t="s">
        <v>4344</v>
      </c>
      <c r="C279" s="0" t="s">
        <v>4345</v>
      </c>
      <c r="D279" s="0" t="s">
        <v>4347</v>
      </c>
      <c r="E279" s="0" t="s">
        <v>4348</v>
      </c>
      <c r="F279" s="0" t="s">
        <v>3584</v>
      </c>
      <c r="G279" s="0" t="s">
        <v>4349</v>
      </c>
    </row>
    <row customHeight="1" ht="11.25">
      <c r="A280" s="382" t="s">
        <v>16</v>
      </c>
      <c r="B280" s="0" t="s">
        <v>4344</v>
      </c>
      <c r="C280" s="0" t="s">
        <v>4345</v>
      </c>
      <c r="D280" s="0" t="s">
        <v>4350</v>
      </c>
      <c r="E280" s="0" t="s">
        <v>4351</v>
      </c>
      <c r="F280" s="0" t="s">
        <v>3584</v>
      </c>
      <c r="G280" s="0" t="s">
        <v>4352</v>
      </c>
    </row>
    <row customHeight="1" ht="11.25">
      <c r="A281" s="382" t="s">
        <v>16</v>
      </c>
      <c r="B281" s="0" t="s">
        <v>4344</v>
      </c>
      <c r="C281" s="0" t="s">
        <v>4345</v>
      </c>
      <c r="D281" s="0" t="s">
        <v>4206</v>
      </c>
      <c r="E281" s="0" t="s">
        <v>4353</v>
      </c>
      <c r="F281" s="0" t="s">
        <v>3584</v>
      </c>
      <c r="G281" s="0" t="s">
        <v>4354</v>
      </c>
    </row>
    <row customHeight="1" ht="11.25">
      <c r="A282" s="382" t="s">
        <v>16</v>
      </c>
      <c r="B282" s="0" t="s">
        <v>4344</v>
      </c>
      <c r="C282" s="0" t="s">
        <v>4345</v>
      </c>
      <c r="D282" s="0" t="s">
        <v>4355</v>
      </c>
      <c r="E282" s="0" t="s">
        <v>4356</v>
      </c>
      <c r="F282" s="0" t="s">
        <v>3584</v>
      </c>
      <c r="G282" s="0" t="s">
        <v>4357</v>
      </c>
    </row>
    <row customHeight="1" ht="11.25">
      <c r="A283" s="382" t="s">
        <v>16</v>
      </c>
      <c r="B283" s="0" t="s">
        <v>4344</v>
      </c>
      <c r="C283" s="0" t="s">
        <v>4345</v>
      </c>
      <c r="D283" s="0" t="s">
        <v>4358</v>
      </c>
      <c r="E283" s="0" t="s">
        <v>4359</v>
      </c>
      <c r="F283" s="0" t="s">
        <v>3584</v>
      </c>
      <c r="G283" s="0" t="s">
        <v>4360</v>
      </c>
    </row>
    <row customHeight="1" ht="11.25">
      <c r="A284" s="382" t="s">
        <v>16</v>
      </c>
      <c r="B284" s="0" t="s">
        <v>4344</v>
      </c>
      <c r="C284" s="0" t="s">
        <v>4345</v>
      </c>
      <c r="D284" s="0" t="s">
        <v>4361</v>
      </c>
      <c r="E284" s="0" t="s">
        <v>4362</v>
      </c>
      <c r="F284" s="0" t="s">
        <v>3584</v>
      </c>
      <c r="G284" s="0" t="s">
        <v>4363</v>
      </c>
    </row>
    <row customHeight="1" ht="11.25">
      <c r="A285" s="382" t="s">
        <v>16</v>
      </c>
      <c r="B285" s="0" t="s">
        <v>4344</v>
      </c>
      <c r="C285" s="0" t="s">
        <v>4345</v>
      </c>
      <c r="D285" s="0" t="s">
        <v>4364</v>
      </c>
      <c r="E285" s="0" t="s">
        <v>4365</v>
      </c>
      <c r="F285" s="0" t="s">
        <v>3584</v>
      </c>
      <c r="G285" s="0" t="s">
        <v>4366</v>
      </c>
    </row>
    <row customHeight="1" ht="11.25">
      <c r="A286" s="382" t="s">
        <v>16</v>
      </c>
      <c r="B286" s="0" t="s">
        <v>4344</v>
      </c>
      <c r="C286" s="0" t="s">
        <v>4345</v>
      </c>
      <c r="D286" s="0" t="s">
        <v>4367</v>
      </c>
      <c r="E286" s="0" t="s">
        <v>4368</v>
      </c>
      <c r="F286" s="0" t="s">
        <v>3584</v>
      </c>
      <c r="G286" s="0" t="s">
        <v>4369</v>
      </c>
    </row>
    <row customHeight="1" ht="11.25">
      <c r="A287" s="382" t="s">
        <v>16</v>
      </c>
      <c r="B287" s="0" t="s">
        <v>4344</v>
      </c>
      <c r="C287" s="0" t="s">
        <v>4345</v>
      </c>
      <c r="D287" s="0" t="s">
        <v>4370</v>
      </c>
      <c r="E287" s="0" t="s">
        <v>4371</v>
      </c>
      <c r="F287" s="0" t="s">
        <v>3584</v>
      </c>
      <c r="G287" s="0" t="s">
        <v>4372</v>
      </c>
    </row>
    <row customHeight="1" ht="11.25">
      <c r="A288" s="382" t="s">
        <v>16</v>
      </c>
      <c r="B288" s="0" t="s">
        <v>4344</v>
      </c>
      <c r="C288" s="0" t="s">
        <v>4345</v>
      </c>
      <c r="D288" s="0" t="s">
        <v>4373</v>
      </c>
      <c r="E288" s="0" t="s">
        <v>4374</v>
      </c>
      <c r="F288" s="0" t="s">
        <v>3584</v>
      </c>
      <c r="G288" s="0" t="s">
        <v>4375</v>
      </c>
    </row>
    <row customHeight="1" ht="11.25">
      <c r="A289" s="382" t="s">
        <v>16</v>
      </c>
      <c r="B289" s="0" t="s">
        <v>4344</v>
      </c>
      <c r="C289" s="0" t="s">
        <v>4345</v>
      </c>
      <c r="D289" s="0" t="s">
        <v>4376</v>
      </c>
      <c r="E289" s="0" t="s">
        <v>4377</v>
      </c>
      <c r="F289" s="0" t="s">
        <v>3584</v>
      </c>
      <c r="G289" s="0" t="s">
        <v>4378</v>
      </c>
    </row>
    <row customHeight="1" ht="11.25">
      <c r="A290" s="382" t="s">
        <v>16</v>
      </c>
      <c r="B290" s="0" t="s">
        <v>4379</v>
      </c>
      <c r="C290" s="0" t="s">
        <v>4380</v>
      </c>
      <c r="D290" s="0" t="s">
        <v>4379</v>
      </c>
      <c r="E290" s="0" t="s">
        <v>4380</v>
      </c>
      <c r="F290" s="0" t="s">
        <v>3581</v>
      </c>
      <c r="G290" s="0" t="s">
        <v>4381</v>
      </c>
    </row>
    <row customHeight="1" ht="11.25">
      <c r="A291" s="382" t="s">
        <v>16</v>
      </c>
      <c r="B291" s="0" t="s">
        <v>4379</v>
      </c>
      <c r="C291" s="0" t="s">
        <v>4380</v>
      </c>
      <c r="D291" s="0" t="s">
        <v>4382</v>
      </c>
      <c r="E291" s="0" t="s">
        <v>4383</v>
      </c>
      <c r="F291" s="0" t="s">
        <v>3584</v>
      </c>
      <c r="G291" s="0" t="s">
        <v>4384</v>
      </c>
    </row>
    <row customHeight="1" ht="11.25">
      <c r="A292" s="382" t="s">
        <v>16</v>
      </c>
      <c r="B292" s="0" t="s">
        <v>4379</v>
      </c>
      <c r="C292" s="0" t="s">
        <v>4380</v>
      </c>
      <c r="D292" s="0" t="s">
        <v>4385</v>
      </c>
      <c r="E292" s="0" t="s">
        <v>4386</v>
      </c>
      <c r="F292" s="0" t="s">
        <v>3584</v>
      </c>
      <c r="G292" s="0" t="s">
        <v>4387</v>
      </c>
    </row>
    <row customHeight="1" ht="11.25">
      <c r="A293" s="382" t="s">
        <v>16</v>
      </c>
      <c r="B293" s="0" t="s">
        <v>4379</v>
      </c>
      <c r="C293" s="0" t="s">
        <v>4380</v>
      </c>
      <c r="D293" s="0" t="s">
        <v>4388</v>
      </c>
      <c r="E293" s="0" t="s">
        <v>4389</v>
      </c>
      <c r="F293" s="0" t="s">
        <v>3584</v>
      </c>
      <c r="G293" s="0" t="s">
        <v>4390</v>
      </c>
    </row>
    <row customHeight="1" ht="11.25">
      <c r="A294" s="382" t="s">
        <v>16</v>
      </c>
      <c r="B294" s="0" t="s">
        <v>4379</v>
      </c>
      <c r="C294" s="0" t="s">
        <v>4380</v>
      </c>
      <c r="D294" s="0" t="s">
        <v>4391</v>
      </c>
      <c r="E294" s="0" t="s">
        <v>4392</v>
      </c>
      <c r="F294" s="0" t="s">
        <v>3584</v>
      </c>
      <c r="G294" s="0" t="s">
        <v>4393</v>
      </c>
    </row>
    <row customHeight="1" ht="11.25">
      <c r="A295" s="382" t="s">
        <v>16</v>
      </c>
      <c r="B295" s="0" t="s">
        <v>4379</v>
      </c>
      <c r="C295" s="0" t="s">
        <v>4380</v>
      </c>
      <c r="D295" s="0" t="s">
        <v>4394</v>
      </c>
      <c r="E295" s="0" t="s">
        <v>4395</v>
      </c>
      <c r="F295" s="0" t="s">
        <v>3584</v>
      </c>
      <c r="G295" s="0" t="s">
        <v>4396</v>
      </c>
    </row>
    <row customHeight="1" ht="11.25">
      <c r="A296" s="382" t="s">
        <v>16</v>
      </c>
      <c r="B296" s="0" t="s">
        <v>4379</v>
      </c>
      <c r="C296" s="0" t="s">
        <v>4380</v>
      </c>
      <c r="D296" s="0" t="s">
        <v>4397</v>
      </c>
      <c r="E296" s="0" t="s">
        <v>4398</v>
      </c>
      <c r="F296" s="0" t="s">
        <v>3584</v>
      </c>
      <c r="G296" s="0" t="s">
        <v>4399</v>
      </c>
    </row>
    <row customHeight="1" ht="11.25">
      <c r="A297" s="382" t="s">
        <v>16</v>
      </c>
      <c r="B297" s="0" t="s">
        <v>4379</v>
      </c>
      <c r="C297" s="0" t="s">
        <v>4380</v>
      </c>
      <c r="D297" s="0" t="s">
        <v>4400</v>
      </c>
      <c r="E297" s="0" t="s">
        <v>4401</v>
      </c>
      <c r="F297" s="0" t="s">
        <v>3584</v>
      </c>
      <c r="G297" s="0" t="s">
        <v>4402</v>
      </c>
    </row>
    <row customHeight="1" ht="11.25">
      <c r="A298" s="382" t="s">
        <v>16</v>
      </c>
      <c r="B298" s="0" t="s">
        <v>4379</v>
      </c>
      <c r="C298" s="0" t="s">
        <v>4380</v>
      </c>
      <c r="D298" s="0" t="s">
        <v>4403</v>
      </c>
      <c r="E298" s="0" t="s">
        <v>4404</v>
      </c>
      <c r="F298" s="0" t="s">
        <v>3584</v>
      </c>
      <c r="G298" s="0" t="s">
        <v>4405</v>
      </c>
    </row>
    <row customHeight="1" ht="11.25">
      <c r="A299" s="382" t="s">
        <v>16</v>
      </c>
      <c r="B299" s="0" t="s">
        <v>4379</v>
      </c>
      <c r="C299" s="0" t="s">
        <v>4380</v>
      </c>
      <c r="D299" s="0" t="s">
        <v>4406</v>
      </c>
      <c r="E299" s="0" t="s">
        <v>4407</v>
      </c>
      <c r="F299" s="0" t="s">
        <v>3584</v>
      </c>
      <c r="G299" s="0" t="s">
        <v>4408</v>
      </c>
    </row>
    <row customHeight="1" ht="11.25">
      <c r="A300" s="382" t="s">
        <v>16</v>
      </c>
      <c r="B300" s="0" t="s">
        <v>4379</v>
      </c>
      <c r="C300" s="0" t="s">
        <v>4380</v>
      </c>
      <c r="D300" s="0" t="s">
        <v>4409</v>
      </c>
      <c r="E300" s="0" t="s">
        <v>4410</v>
      </c>
      <c r="F300" s="0" t="s">
        <v>3584</v>
      </c>
      <c r="G300" s="0" t="s">
        <v>4411</v>
      </c>
    </row>
    <row customHeight="1" ht="11.25">
      <c r="A301" s="382" t="s">
        <v>16</v>
      </c>
      <c r="B301" s="0" t="s">
        <v>4379</v>
      </c>
      <c r="C301" s="0" t="s">
        <v>4380</v>
      </c>
      <c r="D301" s="0" t="s">
        <v>4412</v>
      </c>
      <c r="E301" s="0" t="s">
        <v>4413</v>
      </c>
      <c r="F301" s="0" t="s">
        <v>3584</v>
      </c>
      <c r="G301" s="0" t="s">
        <v>4414</v>
      </c>
    </row>
    <row customHeight="1" ht="11.25">
      <c r="A302" s="382" t="s">
        <v>16</v>
      </c>
      <c r="B302" s="0" t="s">
        <v>4415</v>
      </c>
      <c r="C302" s="0" t="s">
        <v>4416</v>
      </c>
      <c r="D302" s="0" t="s">
        <v>4415</v>
      </c>
      <c r="E302" s="0" t="s">
        <v>4416</v>
      </c>
      <c r="F302" s="0" t="s">
        <v>3581</v>
      </c>
      <c r="G302" s="0" t="s">
        <v>4417</v>
      </c>
    </row>
    <row customHeight="1" ht="11.25">
      <c r="A303" s="382" t="s">
        <v>16</v>
      </c>
      <c r="B303" s="0" t="s">
        <v>4415</v>
      </c>
      <c r="C303" s="0" t="s">
        <v>4416</v>
      </c>
      <c r="D303" s="0" t="s">
        <v>4418</v>
      </c>
      <c r="E303" s="0" t="s">
        <v>4419</v>
      </c>
      <c r="F303" s="0" t="s">
        <v>3584</v>
      </c>
      <c r="G303" s="0" t="s">
        <v>4420</v>
      </c>
    </row>
    <row customHeight="1" ht="11.25">
      <c r="A304" s="382" t="s">
        <v>16</v>
      </c>
      <c r="B304" s="0" t="s">
        <v>4415</v>
      </c>
      <c r="C304" s="0" t="s">
        <v>4416</v>
      </c>
      <c r="D304" s="0" t="s">
        <v>3600</v>
      </c>
      <c r="E304" s="0" t="s">
        <v>4421</v>
      </c>
      <c r="F304" s="0" t="s">
        <v>3584</v>
      </c>
      <c r="G304" s="0" t="s">
        <v>4422</v>
      </c>
    </row>
    <row customHeight="1" ht="11.25">
      <c r="A305" s="382" t="s">
        <v>16</v>
      </c>
      <c r="B305" s="0" t="s">
        <v>4415</v>
      </c>
      <c r="C305" s="0" t="s">
        <v>4416</v>
      </c>
      <c r="D305" s="0" t="s">
        <v>4423</v>
      </c>
      <c r="E305" s="0" t="s">
        <v>4424</v>
      </c>
      <c r="F305" s="0" t="s">
        <v>3584</v>
      </c>
      <c r="G305" s="0" t="s">
        <v>4425</v>
      </c>
    </row>
    <row customHeight="1" ht="11.25">
      <c r="A306" s="382" t="s">
        <v>16</v>
      </c>
      <c r="B306" s="0" t="s">
        <v>4415</v>
      </c>
      <c r="C306" s="0" t="s">
        <v>4416</v>
      </c>
      <c r="D306" s="0" t="s">
        <v>4426</v>
      </c>
      <c r="E306" s="0" t="s">
        <v>4427</v>
      </c>
      <c r="F306" s="0" t="s">
        <v>3584</v>
      </c>
      <c r="G306" s="0" t="s">
        <v>4428</v>
      </c>
    </row>
    <row customHeight="1" ht="11.25">
      <c r="A307" s="382" t="s">
        <v>16</v>
      </c>
      <c r="B307" s="0" t="s">
        <v>4415</v>
      </c>
      <c r="C307" s="0" t="s">
        <v>4416</v>
      </c>
      <c r="D307" s="0" t="s">
        <v>4429</v>
      </c>
      <c r="E307" s="0" t="s">
        <v>4430</v>
      </c>
      <c r="F307" s="0" t="s">
        <v>3584</v>
      </c>
      <c r="G307" s="0" t="s">
        <v>4431</v>
      </c>
    </row>
    <row customHeight="1" ht="11.25">
      <c r="A308" s="382" t="s">
        <v>16</v>
      </c>
      <c r="B308" s="0" t="s">
        <v>4415</v>
      </c>
      <c r="C308" s="0" t="s">
        <v>4416</v>
      </c>
      <c r="D308" s="0" t="s">
        <v>4432</v>
      </c>
      <c r="E308" s="0" t="s">
        <v>4433</v>
      </c>
      <c r="F308" s="0" t="s">
        <v>3584</v>
      </c>
      <c r="G308" s="0" t="s">
        <v>4434</v>
      </c>
    </row>
    <row customHeight="1" ht="11.25">
      <c r="A309" s="382" t="s">
        <v>16</v>
      </c>
      <c r="B309" s="0" t="s">
        <v>4415</v>
      </c>
      <c r="C309" s="0" t="s">
        <v>4416</v>
      </c>
      <c r="D309" s="0" t="s">
        <v>4435</v>
      </c>
      <c r="E309" s="0" t="s">
        <v>4436</v>
      </c>
      <c r="F309" s="0" t="s">
        <v>3584</v>
      </c>
      <c r="G309" s="0" t="s">
        <v>4437</v>
      </c>
    </row>
    <row customHeight="1" ht="11.25">
      <c r="A310" s="382" t="s">
        <v>16</v>
      </c>
      <c r="B310" s="0" t="s">
        <v>4415</v>
      </c>
      <c r="C310" s="0" t="s">
        <v>4416</v>
      </c>
      <c r="D310" s="0" t="s">
        <v>4438</v>
      </c>
      <c r="E310" s="0" t="s">
        <v>4439</v>
      </c>
      <c r="F310" s="0" t="s">
        <v>3584</v>
      </c>
      <c r="G310" s="0" t="s">
        <v>4440</v>
      </c>
    </row>
    <row customHeight="1" ht="11.25">
      <c r="A311" s="382" t="s">
        <v>16</v>
      </c>
      <c r="B311" s="0" t="s">
        <v>4415</v>
      </c>
      <c r="C311" s="0" t="s">
        <v>4416</v>
      </c>
      <c r="D311" s="0" t="s">
        <v>4441</v>
      </c>
      <c r="E311" s="0" t="s">
        <v>4442</v>
      </c>
      <c r="F311" s="0" t="s">
        <v>3584</v>
      </c>
      <c r="G311" s="0" t="s">
        <v>4443</v>
      </c>
    </row>
    <row customHeight="1" ht="11.25">
      <c r="A312" s="382" t="s">
        <v>16</v>
      </c>
      <c r="B312" s="0" t="s">
        <v>4415</v>
      </c>
      <c r="C312" s="0" t="s">
        <v>4416</v>
      </c>
      <c r="D312" s="0" t="s">
        <v>4444</v>
      </c>
      <c r="E312" s="0" t="s">
        <v>4445</v>
      </c>
      <c r="F312" s="0" t="s">
        <v>3584</v>
      </c>
      <c r="G312" s="0" t="s">
        <v>4446</v>
      </c>
    </row>
    <row customHeight="1" ht="11.25">
      <c r="A313" s="382" t="s">
        <v>16</v>
      </c>
      <c r="B313" s="0" t="s">
        <v>4447</v>
      </c>
      <c r="C313" s="0" t="s">
        <v>4448</v>
      </c>
      <c r="D313" s="0" t="s">
        <v>4447</v>
      </c>
      <c r="E313" s="0" t="s">
        <v>4448</v>
      </c>
      <c r="F313" s="0" t="s">
        <v>3581</v>
      </c>
      <c r="G313" s="0" t="s">
        <v>4449</v>
      </c>
    </row>
    <row customHeight="1" ht="11.25">
      <c r="A314" s="382" t="s">
        <v>16</v>
      </c>
      <c r="B314" s="0" t="s">
        <v>4447</v>
      </c>
      <c r="C314" s="0" t="s">
        <v>4448</v>
      </c>
      <c r="D314" s="0" t="s">
        <v>4450</v>
      </c>
      <c r="E314" s="0" t="s">
        <v>4451</v>
      </c>
      <c r="F314" s="0" t="s">
        <v>3584</v>
      </c>
      <c r="G314" s="0" t="s">
        <v>4452</v>
      </c>
    </row>
    <row customHeight="1" ht="11.25">
      <c r="A315" s="382" t="s">
        <v>16</v>
      </c>
      <c r="B315" s="0" t="s">
        <v>4447</v>
      </c>
      <c r="C315" s="0" t="s">
        <v>4448</v>
      </c>
      <c r="D315" s="0" t="s">
        <v>4453</v>
      </c>
      <c r="E315" s="0" t="s">
        <v>4454</v>
      </c>
      <c r="F315" s="0" t="s">
        <v>3584</v>
      </c>
      <c r="G315" s="0" t="s">
        <v>4455</v>
      </c>
    </row>
    <row customHeight="1" ht="11.25">
      <c r="A316" s="382" t="s">
        <v>16</v>
      </c>
      <c r="B316" s="0" t="s">
        <v>4447</v>
      </c>
      <c r="C316" s="0" t="s">
        <v>4448</v>
      </c>
      <c r="D316" s="0" t="s">
        <v>4456</v>
      </c>
      <c r="E316" s="0" t="s">
        <v>4457</v>
      </c>
      <c r="F316" s="0" t="s">
        <v>3584</v>
      </c>
      <c r="G316" s="0" t="s">
        <v>4458</v>
      </c>
    </row>
    <row customHeight="1" ht="11.25">
      <c r="A317" s="382" t="s">
        <v>16</v>
      </c>
      <c r="B317" s="0" t="s">
        <v>4447</v>
      </c>
      <c r="C317" s="0" t="s">
        <v>4448</v>
      </c>
      <c r="D317" s="0" t="s">
        <v>4459</v>
      </c>
      <c r="E317" s="0" t="s">
        <v>4460</v>
      </c>
      <c r="F317" s="0" t="s">
        <v>3584</v>
      </c>
      <c r="G317" s="0" t="s">
        <v>4461</v>
      </c>
    </row>
    <row customHeight="1" ht="11.25">
      <c r="A318" s="382" t="s">
        <v>16</v>
      </c>
      <c r="B318" s="0" t="s">
        <v>4447</v>
      </c>
      <c r="C318" s="0" t="s">
        <v>4448</v>
      </c>
      <c r="D318" s="0" t="s">
        <v>4462</v>
      </c>
      <c r="E318" s="0" t="s">
        <v>4463</v>
      </c>
      <c r="F318" s="0" t="s">
        <v>3584</v>
      </c>
      <c r="G318" s="0" t="s">
        <v>4464</v>
      </c>
    </row>
    <row customHeight="1" ht="11.25">
      <c r="A319" s="382" t="s">
        <v>16</v>
      </c>
      <c r="B319" s="0" t="s">
        <v>4447</v>
      </c>
      <c r="C319" s="0" t="s">
        <v>4448</v>
      </c>
      <c r="D319" s="0" t="s">
        <v>4465</v>
      </c>
      <c r="E319" s="0" t="s">
        <v>4466</v>
      </c>
      <c r="F319" s="0" t="s">
        <v>3584</v>
      </c>
      <c r="G319" s="0" t="s">
        <v>4467</v>
      </c>
    </row>
    <row customHeight="1" ht="11.25">
      <c r="A320" s="382" t="s">
        <v>16</v>
      </c>
      <c r="B320" s="0" t="s">
        <v>4447</v>
      </c>
      <c r="C320" s="0" t="s">
        <v>4448</v>
      </c>
      <c r="D320" s="0" t="s">
        <v>4468</v>
      </c>
      <c r="E320" s="0" t="s">
        <v>4469</v>
      </c>
      <c r="F320" s="0" t="s">
        <v>3584</v>
      </c>
      <c r="G320" s="0" t="s">
        <v>4470</v>
      </c>
    </row>
    <row customHeight="1" ht="11.25">
      <c r="A321" s="382" t="s">
        <v>16</v>
      </c>
      <c r="B321" s="0" t="s">
        <v>4447</v>
      </c>
      <c r="C321" s="0" t="s">
        <v>4448</v>
      </c>
      <c r="D321" s="0" t="s">
        <v>4471</v>
      </c>
      <c r="E321" s="0" t="s">
        <v>4472</v>
      </c>
      <c r="F321" s="0" t="s">
        <v>3584</v>
      </c>
      <c r="G321" s="0" t="s">
        <v>4473</v>
      </c>
    </row>
    <row customHeight="1" ht="11.25">
      <c r="A322" s="382" t="s">
        <v>16</v>
      </c>
      <c r="B322" s="0" t="s">
        <v>4447</v>
      </c>
      <c r="C322" s="0" t="s">
        <v>4448</v>
      </c>
      <c r="D322" s="0" t="s">
        <v>4474</v>
      </c>
      <c r="E322" s="0" t="s">
        <v>4475</v>
      </c>
      <c r="F322" s="0" t="s">
        <v>3584</v>
      </c>
      <c r="G322" s="0" t="s">
        <v>4476</v>
      </c>
    </row>
    <row customHeight="1" ht="11.25">
      <c r="A323" s="382" t="s">
        <v>16</v>
      </c>
      <c r="B323" s="0" t="s">
        <v>4447</v>
      </c>
      <c r="C323" s="0" t="s">
        <v>4448</v>
      </c>
      <c r="D323" s="0" t="s">
        <v>4477</v>
      </c>
      <c r="E323" s="0" t="s">
        <v>4478</v>
      </c>
      <c r="F323" s="0" t="s">
        <v>3584</v>
      </c>
      <c r="G323" s="0" t="s">
        <v>4479</v>
      </c>
    </row>
    <row customHeight="1" ht="11.25">
      <c r="A324" s="382" t="s">
        <v>16</v>
      </c>
      <c r="B324" s="0" t="s">
        <v>4447</v>
      </c>
      <c r="C324" s="0" t="s">
        <v>4448</v>
      </c>
      <c r="D324" s="0" t="s">
        <v>4480</v>
      </c>
      <c r="E324" s="0" t="s">
        <v>4481</v>
      </c>
      <c r="F324" s="0" t="s">
        <v>3584</v>
      </c>
      <c r="G324" s="0" t="s">
        <v>4482</v>
      </c>
    </row>
    <row customHeight="1" ht="11.25">
      <c r="A325" s="382" t="s">
        <v>16</v>
      </c>
      <c r="B325" s="0" t="s">
        <v>4447</v>
      </c>
      <c r="C325" s="0" t="s">
        <v>4448</v>
      </c>
      <c r="D325" s="0" t="s">
        <v>4483</v>
      </c>
      <c r="E325" s="0" t="s">
        <v>4484</v>
      </c>
      <c r="F325" s="0" t="s">
        <v>3584</v>
      </c>
      <c r="G325" s="0" t="s">
        <v>4485</v>
      </c>
    </row>
    <row customHeight="1" ht="11.25">
      <c r="A326" s="382" t="s">
        <v>16</v>
      </c>
      <c r="B326" s="0" t="s">
        <v>100</v>
      </c>
      <c r="C326" s="0" t="s">
        <v>101</v>
      </c>
      <c r="D326" s="0" t="s">
        <v>100</v>
      </c>
      <c r="E326" s="0" t="s">
        <v>101</v>
      </c>
      <c r="F326" s="0" t="s">
        <v>4486</v>
      </c>
      <c r="G326" s="0" t="s">
        <v>99</v>
      </c>
    </row>
    <row customHeight="1" ht="11.25">
      <c r="A327" s="382" t="s">
        <v>16</v>
      </c>
      <c r="B327" s="0" t="s">
        <v>4487</v>
      </c>
      <c r="C327" s="0" t="s">
        <v>4488</v>
      </c>
      <c r="D327" s="0" t="s">
        <v>4487</v>
      </c>
      <c r="E327" s="0" t="s">
        <v>4488</v>
      </c>
      <c r="F327" s="0" t="s">
        <v>4486</v>
      </c>
      <c r="G327" s="0" t="s">
        <v>4489</v>
      </c>
    </row>
    <row customHeight="1" ht="11.25">
      <c r="A328" s="382" t="s">
        <v>16</v>
      </c>
      <c r="B328" s="0" t="s">
        <v>4490</v>
      </c>
      <c r="C328" s="0" t="s">
        <v>4491</v>
      </c>
      <c r="D328" s="0" t="s">
        <v>4490</v>
      </c>
      <c r="E328" s="0" t="s">
        <v>4491</v>
      </c>
      <c r="F328" s="0" t="s">
        <v>4486</v>
      </c>
      <c r="G328" s="0" t="s">
        <v>4492</v>
      </c>
    </row>
    <row customHeight="1" ht="11.25">
      <c r="A329" s="382" t="s">
        <v>16</v>
      </c>
      <c r="B329" s="0" t="s">
        <v>4493</v>
      </c>
      <c r="C329" s="0" t="s">
        <v>4494</v>
      </c>
      <c r="D329" s="0" t="s">
        <v>4493</v>
      </c>
      <c r="E329" s="0" t="s">
        <v>4494</v>
      </c>
      <c r="F329" s="0" t="s">
        <v>4486</v>
      </c>
      <c r="G329" s="0" t="s">
        <v>4495</v>
      </c>
    </row>
    <row customHeight="1" ht="11.25">
      <c r="A330" s="382" t="s">
        <v>16</v>
      </c>
      <c r="B330" s="0" t="s">
        <v>4496</v>
      </c>
      <c r="C330" s="0" t="s">
        <v>4497</v>
      </c>
      <c r="D330" s="0" t="s">
        <v>4496</v>
      </c>
      <c r="E330" s="0" t="s">
        <v>4497</v>
      </c>
      <c r="F330" s="0" t="s">
        <v>4486</v>
      </c>
      <c r="G330" s="0" t="s">
        <v>4498</v>
      </c>
    </row>
    <row customHeight="1" ht="11.25">
      <c r="A331" s="382" t="s">
        <v>16</v>
      </c>
      <c r="B331" s="0" t="s">
        <v>4499</v>
      </c>
      <c r="C331" s="0" t="s">
        <v>4500</v>
      </c>
      <c r="D331" s="0" t="s">
        <v>4499</v>
      </c>
      <c r="E331" s="0" t="s">
        <v>4500</v>
      </c>
      <c r="F331" s="0" t="s">
        <v>4486</v>
      </c>
      <c r="G331" s="0" t="s">
        <v>4501</v>
      </c>
    </row>
    <row customHeight="1" ht="11.25">
      <c r="A332" s="382" t="s">
        <v>16</v>
      </c>
      <c r="B332" s="0" t="s">
        <v>4502</v>
      </c>
      <c r="C332" s="0" t="s">
        <v>4503</v>
      </c>
      <c r="D332" s="0" t="s">
        <v>4504</v>
      </c>
      <c r="E332" s="0" t="s">
        <v>4505</v>
      </c>
      <c r="F332" s="0" t="s">
        <v>4506</v>
      </c>
      <c r="G332" s="0" t="s">
        <v>4507</v>
      </c>
    </row>
    <row customHeight="1" ht="11.25">
      <c r="A333" s="382" t="s">
        <v>16</v>
      </c>
      <c r="B333" s="0" t="s">
        <v>4502</v>
      </c>
      <c r="C333" s="0" t="s">
        <v>4503</v>
      </c>
      <c r="D333" s="0" t="s">
        <v>4508</v>
      </c>
      <c r="E333" s="0" t="s">
        <v>4509</v>
      </c>
      <c r="F333" s="0" t="s">
        <v>4506</v>
      </c>
      <c r="G333" s="0" t="s">
        <v>4510</v>
      </c>
    </row>
    <row customHeight="1" ht="11.25">
      <c r="A334" s="382" t="s">
        <v>16</v>
      </c>
      <c r="B334" s="0" t="s">
        <v>4502</v>
      </c>
      <c r="C334" s="0" t="s">
        <v>4503</v>
      </c>
      <c r="D334" s="0" t="s">
        <v>4511</v>
      </c>
      <c r="E334" s="0" t="s">
        <v>4512</v>
      </c>
      <c r="F334" s="0" t="s">
        <v>4506</v>
      </c>
      <c r="G334" s="0" t="s">
        <v>4513</v>
      </c>
    </row>
    <row customHeight="1" ht="11.25">
      <c r="A335" s="382" t="s">
        <v>16</v>
      </c>
      <c r="B335" s="0" t="s">
        <v>4502</v>
      </c>
      <c r="C335" s="0" t="s">
        <v>4503</v>
      </c>
      <c r="D335" s="0" t="s">
        <v>4514</v>
      </c>
      <c r="E335" s="0" t="s">
        <v>4515</v>
      </c>
      <c r="F335" s="0" t="s">
        <v>4506</v>
      </c>
      <c r="G335" s="0" t="s">
        <v>4516</v>
      </c>
    </row>
    <row customHeight="1" ht="11.25">
      <c r="A336" s="382" t="s">
        <v>16</v>
      </c>
      <c r="B336" s="0" t="s">
        <v>4502</v>
      </c>
      <c r="C336" s="0" t="s">
        <v>4503</v>
      </c>
      <c r="D336" s="0" t="s">
        <v>4517</v>
      </c>
      <c r="E336" s="0" t="s">
        <v>4518</v>
      </c>
      <c r="F336" s="0" t="s">
        <v>4506</v>
      </c>
      <c r="G336" s="0" t="s">
        <v>4519</v>
      </c>
    </row>
    <row customHeight="1" ht="11.25">
      <c r="A337" s="382" t="s">
        <v>16</v>
      </c>
      <c r="B337" s="0" t="s">
        <v>4502</v>
      </c>
      <c r="C337" s="0" t="s">
        <v>4503</v>
      </c>
      <c r="D337" s="0" t="s">
        <v>4520</v>
      </c>
      <c r="E337" s="0" t="s">
        <v>4521</v>
      </c>
      <c r="F337" s="0" t="s">
        <v>4506</v>
      </c>
      <c r="G337" s="0" t="s">
        <v>4522</v>
      </c>
    </row>
    <row customHeight="1" ht="11.25">
      <c r="A338" s="382" t="s">
        <v>16</v>
      </c>
      <c r="B338" s="0" t="s">
        <v>4502</v>
      </c>
      <c r="C338" s="0" t="s">
        <v>4503</v>
      </c>
      <c r="D338" s="0" t="s">
        <v>4523</v>
      </c>
      <c r="E338" s="0" t="s">
        <v>4524</v>
      </c>
      <c r="F338" s="0" t="s">
        <v>4506</v>
      </c>
      <c r="G338" s="0" t="s">
        <v>4525</v>
      </c>
    </row>
    <row customHeight="1" ht="11.25">
      <c r="A339" s="382" t="s">
        <v>16</v>
      </c>
      <c r="B339" s="0" t="s">
        <v>4502</v>
      </c>
      <c r="C339" s="0" t="s">
        <v>4503</v>
      </c>
      <c r="D339" s="0" t="s">
        <v>4526</v>
      </c>
      <c r="E339" s="0" t="s">
        <v>4527</v>
      </c>
      <c r="F339" s="0" t="s">
        <v>4506</v>
      </c>
      <c r="G339" s="0" t="s">
        <v>4528</v>
      </c>
    </row>
    <row customHeight="1" ht="11.25">
      <c r="A340" s="382" t="s">
        <v>16</v>
      </c>
      <c r="B340" s="0" t="s">
        <v>4502</v>
      </c>
      <c r="C340" s="0" t="s">
        <v>4503</v>
      </c>
      <c r="D340" s="0" t="s">
        <v>4529</v>
      </c>
      <c r="E340" s="0" t="s">
        <v>4530</v>
      </c>
      <c r="F340" s="0" t="s">
        <v>4506</v>
      </c>
      <c r="G340" s="0" t="s">
        <v>4531</v>
      </c>
    </row>
    <row customHeight="1" ht="11.25">
      <c r="A341" s="382" t="s">
        <v>16</v>
      </c>
      <c r="B341" s="0" t="s">
        <v>4502</v>
      </c>
      <c r="C341" s="0" t="s">
        <v>4503</v>
      </c>
      <c r="D341" s="0" t="s">
        <v>4502</v>
      </c>
      <c r="E341" s="0" t="s">
        <v>4503</v>
      </c>
      <c r="F341" s="0" t="s">
        <v>4532</v>
      </c>
      <c r="G341" s="0" t="s">
        <v>4533</v>
      </c>
    </row>
    <row customHeight="1" ht="11.25">
      <c r="A342" s="382" t="s">
        <v>16</v>
      </c>
      <c r="B342" s="0" t="s">
        <v>4534</v>
      </c>
      <c r="C342" s="0" t="s">
        <v>4535</v>
      </c>
      <c r="D342" s="0" t="s">
        <v>4534</v>
      </c>
      <c r="E342" s="0" t="s">
        <v>4535</v>
      </c>
      <c r="F342" s="0" t="s">
        <v>4486</v>
      </c>
      <c r="G342" s="0" t="s">
        <v>4536</v>
      </c>
    </row>
    <row customHeight="1" ht="11.25">
      <c r="A343" s="382" t="s">
        <v>16</v>
      </c>
      <c r="B343" s="0" t="s">
        <v>4537</v>
      </c>
      <c r="C343" s="0" t="s">
        <v>4538</v>
      </c>
      <c r="D343" s="0" t="s">
        <v>4537</v>
      </c>
      <c r="E343" s="0" t="s">
        <v>4538</v>
      </c>
      <c r="F343" s="0" t="s">
        <v>4486</v>
      </c>
      <c r="G343" s="0" t="s">
        <v>4539</v>
      </c>
    </row>
    <row customHeight="1" ht="11.25">
      <c r="A344" s="382" t="s">
        <v>16</v>
      </c>
      <c r="B344" s="0" t="s">
        <v>4540</v>
      </c>
      <c r="C344" s="0" t="s">
        <v>4541</v>
      </c>
      <c r="D344" s="0" t="s">
        <v>4540</v>
      </c>
      <c r="E344" s="0" t="s">
        <v>4541</v>
      </c>
      <c r="F344" s="0" t="s">
        <v>4486</v>
      </c>
      <c r="G344" s="0" t="s">
        <v>4542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C87AD-0FBD-9A32-7E2A-0.9F7E7231}"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4543</v>
      </c>
      <c r="B1" s="844" t="s">
        <v>4544</v>
      </c>
      <c r="C1" s="1168" t="s">
        <v>4545</v>
      </c>
      <c r="D1" s="844" t="s">
        <v>4546</v>
      </c>
      <c r="E1" s="844" t="s">
        <v>4547</v>
      </c>
      <c r="F1" s="1168" t="s">
        <v>4548</v>
      </c>
      <c r="G1" s="1168" t="s">
        <v>4549</v>
      </c>
      <c r="H1" s="1168" t="s">
        <v>4550</v>
      </c>
      <c r="I1" s="1168" t="s">
        <v>4551</v>
      </c>
    </row>
    <row customHeight="1" ht="11.25">
      <c r="A2" s="1700" t="s">
        <v>109</v>
      </c>
      <c r="B2" s="1700" t="s">
        <v>4552</v>
      </c>
      <c r="C2" s="1700" t="s">
        <v>22</v>
      </c>
      <c r="D2" s="1700" t="s">
        <v>4553</v>
      </c>
      <c r="E2" s="1700" t="s">
        <v>4554</v>
      </c>
      <c r="F2" s="1700" t="s">
        <v>22</v>
      </c>
      <c r="G2" s="1700" t="s">
        <v>22</v>
      </c>
      <c r="H2" s="1700" t="s">
        <v>22</v>
      </c>
      <c r="I2" s="1700" t="s">
        <v>22</v>
      </c>
    </row>
    <row customHeight="1" ht="11.25">
      <c r="A3" s="1700" t="s">
        <v>110</v>
      </c>
      <c r="B3" s="1700" t="s">
        <v>4555</v>
      </c>
      <c r="C3" s="1700" t="s">
        <v>22</v>
      </c>
      <c r="D3" s="1700" t="s">
        <v>4556</v>
      </c>
      <c r="E3" s="1700" t="s">
        <v>4554</v>
      </c>
      <c r="F3" s="1700" t="s">
        <v>22</v>
      </c>
      <c r="G3" s="1700" t="s">
        <v>22</v>
      </c>
      <c r="H3" s="1700" t="s">
        <v>22</v>
      </c>
      <c r="I3" s="1700" t="s">
        <v>22</v>
      </c>
    </row>
    <row customHeight="1" ht="11.25">
      <c r="A4" s="1700" t="s">
        <v>90</v>
      </c>
      <c r="B4" s="1700" t="s">
        <v>4557</v>
      </c>
      <c r="C4" s="1700" t="s">
        <v>22</v>
      </c>
      <c r="D4" s="1700" t="s">
        <v>4556</v>
      </c>
      <c r="E4" s="1700" t="s">
        <v>4554</v>
      </c>
      <c r="F4" s="1700" t="s">
        <v>22</v>
      </c>
      <c r="G4" s="1700" t="s">
        <v>22</v>
      </c>
      <c r="H4" s="1700" t="s">
        <v>22</v>
      </c>
      <c r="I4" s="1700" t="s">
        <v>22</v>
      </c>
    </row>
    <row customHeight="1" ht="11.25">
      <c r="A5" s="1700" t="s">
        <v>91</v>
      </c>
      <c r="B5" s="1700" t="s">
        <v>4558</v>
      </c>
      <c r="C5" s="1700" t="s">
        <v>22</v>
      </c>
      <c r="D5" s="1700" t="s">
        <v>4559</v>
      </c>
      <c r="E5" s="1700" t="s">
        <v>4560</v>
      </c>
      <c r="F5" s="1700" t="s">
        <v>22</v>
      </c>
      <c r="G5" s="1700" t="s">
        <v>22</v>
      </c>
      <c r="H5" s="1700" t="s">
        <v>22</v>
      </c>
      <c r="I5" s="1700" t="s">
        <v>22</v>
      </c>
    </row>
    <row customHeight="1" ht="11.25">
      <c r="A6" s="1700" t="s">
        <v>111</v>
      </c>
      <c r="B6" s="1700" t="s">
        <v>4561</v>
      </c>
      <c r="C6" s="1700" t="s">
        <v>22</v>
      </c>
      <c r="D6" s="1700" t="s">
        <v>4556</v>
      </c>
      <c r="E6" s="1700" t="s">
        <v>4554</v>
      </c>
      <c r="F6" s="1700" t="s">
        <v>22</v>
      </c>
      <c r="G6" s="1700" t="s">
        <v>22</v>
      </c>
      <c r="H6" s="1700" t="s">
        <v>22</v>
      </c>
      <c r="I6" s="1700" t="s">
        <v>22</v>
      </c>
    </row>
    <row customHeight="1" ht="11.25">
      <c r="A7" s="1700" t="s">
        <v>92</v>
      </c>
      <c r="B7" s="1700" t="s">
        <v>4562</v>
      </c>
      <c r="C7" s="1700" t="s">
        <v>22</v>
      </c>
      <c r="D7" s="1700" t="s">
        <v>4556</v>
      </c>
      <c r="E7" s="1700" t="s">
        <v>4554</v>
      </c>
      <c r="F7" s="1700" t="s">
        <v>22</v>
      </c>
      <c r="G7" s="1700" t="s">
        <v>22</v>
      </c>
      <c r="H7" s="1700" t="s">
        <v>22</v>
      </c>
      <c r="I7" s="1700" t="s">
        <v>22</v>
      </c>
    </row>
    <row customHeight="1" ht="11.25">
      <c r="A8" s="1700" t="s">
        <v>93</v>
      </c>
      <c r="B8" s="1700" t="s">
        <v>4563</v>
      </c>
      <c r="C8" s="1700" t="s">
        <v>22</v>
      </c>
      <c r="D8" s="1700" t="s">
        <v>4556</v>
      </c>
      <c r="E8" s="1700" t="s">
        <v>4564</v>
      </c>
      <c r="F8" s="1700" t="s">
        <v>22</v>
      </c>
      <c r="G8" s="1700" t="s">
        <v>22</v>
      </c>
      <c r="H8" s="1700" t="s">
        <v>22</v>
      </c>
      <c r="I8" s="1700" t="s">
        <v>22</v>
      </c>
    </row>
    <row customHeight="1" ht="11.25">
      <c r="A9" s="1700" t="s">
        <v>112</v>
      </c>
      <c r="B9" s="1700" t="s">
        <v>4565</v>
      </c>
      <c r="C9" s="1700" t="s">
        <v>22</v>
      </c>
      <c r="D9" s="1700" t="s">
        <v>4556</v>
      </c>
      <c r="E9" s="1700" t="s">
        <v>4554</v>
      </c>
      <c r="F9" s="1700" t="s">
        <v>22</v>
      </c>
      <c r="G9" s="1700" t="s">
        <v>22</v>
      </c>
      <c r="H9" s="1700" t="s">
        <v>22</v>
      </c>
      <c r="I9" s="1700" t="s">
        <v>22</v>
      </c>
    </row>
    <row customHeight="1" ht="11.25">
      <c r="A10" s="1700" t="s">
        <v>136</v>
      </c>
      <c r="B10" s="1700" t="s">
        <v>4566</v>
      </c>
      <c r="C10" s="1700" t="s">
        <v>22</v>
      </c>
      <c r="D10" s="1700" t="s">
        <v>4556</v>
      </c>
      <c r="E10" s="1700" t="s">
        <v>4554</v>
      </c>
      <c r="F10" s="1700" t="s">
        <v>22</v>
      </c>
      <c r="G10" s="1700" t="s">
        <v>22</v>
      </c>
      <c r="H10" s="1700" t="s">
        <v>22</v>
      </c>
      <c r="I10" s="1700" t="s">
        <v>22</v>
      </c>
    </row>
    <row customHeight="1" ht="11.25">
      <c r="A11" s="1700" t="s">
        <v>139</v>
      </c>
      <c r="B11" s="1700" t="s">
        <v>4567</v>
      </c>
      <c r="C11" s="1700" t="s">
        <v>22</v>
      </c>
      <c r="D11" s="1700" t="s">
        <v>4568</v>
      </c>
      <c r="E11" s="1700" t="s">
        <v>4569</v>
      </c>
      <c r="F11" s="1700" t="s">
        <v>22</v>
      </c>
      <c r="G11" s="1700" t="s">
        <v>22</v>
      </c>
      <c r="H11" s="1700" t="s">
        <v>22</v>
      </c>
      <c r="I11" s="1700" t="s">
        <v>22</v>
      </c>
    </row>
    <row customHeight="1" ht="11.25">
      <c r="A12" s="1700" t="s">
        <v>142</v>
      </c>
      <c r="B12" s="1700" t="s">
        <v>4570</v>
      </c>
      <c r="C12" s="1700" t="s">
        <v>22</v>
      </c>
      <c r="D12" s="1700" t="s">
        <v>4556</v>
      </c>
      <c r="E12" s="1700" t="s">
        <v>4554</v>
      </c>
      <c r="F12" s="1700" t="s">
        <v>22</v>
      </c>
      <c r="G12" s="1700" t="s">
        <v>22</v>
      </c>
      <c r="H12" s="1700" t="s">
        <v>22</v>
      </c>
      <c r="I12" s="1700" t="s">
        <v>22</v>
      </c>
    </row>
    <row customHeight="1" ht="11.25">
      <c r="A13" s="1700" t="s">
        <v>145</v>
      </c>
      <c r="B13" s="1700" t="s">
        <v>4571</v>
      </c>
      <c r="C13" s="1700" t="s">
        <v>22</v>
      </c>
      <c r="D13" s="1700" t="s">
        <v>4572</v>
      </c>
      <c r="E13" s="1700" t="s">
        <v>4573</v>
      </c>
      <c r="F13" s="1700" t="s">
        <v>22</v>
      </c>
      <c r="G13" s="1700" t="s">
        <v>22</v>
      </c>
      <c r="H13" s="1700" t="s">
        <v>22</v>
      </c>
      <c r="I13" s="1700" t="s">
        <v>22</v>
      </c>
    </row>
    <row customHeight="1" ht="11.25">
      <c r="A14" s="1700" t="s">
        <v>148</v>
      </c>
      <c r="B14" s="1700" t="s">
        <v>4574</v>
      </c>
      <c r="C14" s="1700" t="s">
        <v>22</v>
      </c>
      <c r="D14" s="1700" t="s">
        <v>4556</v>
      </c>
      <c r="E14" s="1700" t="s">
        <v>4575</v>
      </c>
      <c r="F14" s="1700" t="s">
        <v>22</v>
      </c>
      <c r="G14" s="1700" t="s">
        <v>22</v>
      </c>
      <c r="H14" s="1700" t="s">
        <v>22</v>
      </c>
      <c r="I14" s="1700" t="s">
        <v>22</v>
      </c>
    </row>
    <row customHeight="1" ht="11.25">
      <c r="A15" s="1700" t="s">
        <v>151</v>
      </c>
      <c r="B15" s="1700" t="s">
        <v>4576</v>
      </c>
      <c r="C15" s="1700" t="s">
        <v>22</v>
      </c>
      <c r="D15" s="1700" t="s">
        <v>4553</v>
      </c>
      <c r="E15" s="1700" t="s">
        <v>4577</v>
      </c>
      <c r="F15" s="1700" t="s">
        <v>22</v>
      </c>
      <c r="G15" s="1700" t="s">
        <v>22</v>
      </c>
      <c r="H15" s="1700" t="s">
        <v>22</v>
      </c>
      <c r="I15" s="1700" t="s">
        <v>22</v>
      </c>
    </row>
    <row customHeight="1" ht="11.25">
      <c r="A16" s="1700" t="s">
        <v>154</v>
      </c>
      <c r="B16" s="1700" t="s">
        <v>4578</v>
      </c>
      <c r="C16" s="1700" t="s">
        <v>22</v>
      </c>
      <c r="D16" s="1700" t="s">
        <v>4579</v>
      </c>
      <c r="E16" s="1700" t="s">
        <v>4580</v>
      </c>
      <c r="F16" s="1700" t="s">
        <v>22</v>
      </c>
      <c r="G16" s="1700" t="s">
        <v>22</v>
      </c>
      <c r="H16" s="1700" t="s">
        <v>22</v>
      </c>
      <c r="I16" s="1700" t="s">
        <v>22</v>
      </c>
    </row>
    <row customHeight="1" ht="11.25">
      <c r="A17" s="1700" t="s">
        <v>157</v>
      </c>
      <c r="B17" s="1700" t="s">
        <v>4581</v>
      </c>
      <c r="C17" s="1700" t="s">
        <v>22</v>
      </c>
      <c r="D17" s="1700" t="s">
        <v>4572</v>
      </c>
      <c r="E17" s="1700" t="s">
        <v>4554</v>
      </c>
      <c r="F17" s="1700" t="s">
        <v>22</v>
      </c>
      <c r="G17" s="1700" t="s">
        <v>22</v>
      </c>
      <c r="H17" s="1700" t="s">
        <v>22</v>
      </c>
      <c r="I17" s="1700" t="s">
        <v>22</v>
      </c>
    </row>
    <row customHeight="1" ht="11.25">
      <c r="A18" s="1700" t="s">
        <v>160</v>
      </c>
      <c r="B18" s="1700" t="s">
        <v>4582</v>
      </c>
      <c r="C18" s="1700" t="s">
        <v>22</v>
      </c>
      <c r="D18" s="1700" t="s">
        <v>4572</v>
      </c>
      <c r="E18" s="1700" t="s">
        <v>4554</v>
      </c>
      <c r="F18" s="1700" t="s">
        <v>22</v>
      </c>
      <c r="G18" s="1700" t="s">
        <v>22</v>
      </c>
      <c r="H18" s="1700" t="s">
        <v>22</v>
      </c>
      <c r="I18" s="1700" t="s">
        <v>22</v>
      </c>
    </row>
    <row customHeight="1" ht="11.25">
      <c r="A19" s="1700" t="s">
        <v>163</v>
      </c>
      <c r="B19" s="1700" t="s">
        <v>4583</v>
      </c>
      <c r="C19" s="1700" t="s">
        <v>22</v>
      </c>
      <c r="D19" s="1700" t="s">
        <v>4579</v>
      </c>
      <c r="E19" s="1700" t="s">
        <v>4584</v>
      </c>
      <c r="F19" s="1700" t="s">
        <v>22</v>
      </c>
      <c r="G19" s="1700" t="s">
        <v>22</v>
      </c>
      <c r="H19" s="1700" t="s">
        <v>22</v>
      </c>
      <c r="I19" s="1700" t="s">
        <v>22</v>
      </c>
    </row>
    <row customHeight="1" ht="11.25">
      <c r="A20" s="1700" t="s">
        <v>166</v>
      </c>
      <c r="B20" s="1700" t="s">
        <v>4585</v>
      </c>
      <c r="C20" s="1700" t="s">
        <v>22</v>
      </c>
      <c r="D20" s="1700" t="s">
        <v>4579</v>
      </c>
      <c r="E20" s="1700" t="s">
        <v>4580</v>
      </c>
      <c r="F20" s="1700" t="s">
        <v>22</v>
      </c>
      <c r="G20" s="1700" t="s">
        <v>22</v>
      </c>
      <c r="H20" s="1700" t="s">
        <v>22</v>
      </c>
      <c r="I20" s="1700" t="s">
        <v>22</v>
      </c>
    </row>
    <row customHeight="1" ht="11.25">
      <c r="A21" s="1700" t="s">
        <v>169</v>
      </c>
      <c r="B21" s="1700" t="s">
        <v>4586</v>
      </c>
      <c r="C21" s="1700" t="s">
        <v>22</v>
      </c>
      <c r="D21" s="1700" t="s">
        <v>4572</v>
      </c>
      <c r="E21" s="1700" t="s">
        <v>4554</v>
      </c>
      <c r="F21" s="1700" t="s">
        <v>22</v>
      </c>
      <c r="G21" s="1700" t="s">
        <v>22</v>
      </c>
      <c r="H21" s="1700" t="s">
        <v>22</v>
      </c>
      <c r="I21" s="1700" t="s">
        <v>22</v>
      </c>
    </row>
    <row customHeight="1" ht="11.25">
      <c r="A22" s="1700" t="s">
        <v>172</v>
      </c>
      <c r="B22" s="1700" t="s">
        <v>4587</v>
      </c>
      <c r="C22" s="1700" t="s">
        <v>22</v>
      </c>
      <c r="D22" s="1700" t="s">
        <v>4579</v>
      </c>
      <c r="E22" s="1700" t="s">
        <v>4580</v>
      </c>
      <c r="F22" s="1700" t="s">
        <v>22</v>
      </c>
      <c r="G22" s="1700" t="s">
        <v>22</v>
      </c>
      <c r="H22" s="1700" t="s">
        <v>22</v>
      </c>
      <c r="I22" s="1700" t="s">
        <v>22</v>
      </c>
    </row>
    <row customHeight="1" ht="11.25">
      <c r="A23" s="1700" t="s">
        <v>175</v>
      </c>
      <c r="B23" s="1700" t="s">
        <v>4588</v>
      </c>
      <c r="C23" s="1700" t="s">
        <v>22</v>
      </c>
      <c r="D23" s="1700" t="s">
        <v>4579</v>
      </c>
      <c r="E23" s="1700" t="s">
        <v>4580</v>
      </c>
      <c r="F23" s="1700" t="s">
        <v>22</v>
      </c>
      <c r="G23" s="1700" t="s">
        <v>22</v>
      </c>
      <c r="H23" s="1700" t="s">
        <v>22</v>
      </c>
      <c r="I23" s="1700" t="s">
        <v>22</v>
      </c>
    </row>
    <row customHeight="1" ht="11.25">
      <c r="A24" s="1700" t="s">
        <v>178</v>
      </c>
      <c r="B24" s="1700" t="s">
        <v>4589</v>
      </c>
      <c r="C24" s="1700" t="s">
        <v>22</v>
      </c>
      <c r="D24" s="1700" t="s">
        <v>4572</v>
      </c>
      <c r="E24" s="1700" t="s">
        <v>4554</v>
      </c>
      <c r="F24" s="1700" t="s">
        <v>22</v>
      </c>
      <c r="G24" s="1700" t="s">
        <v>22</v>
      </c>
      <c r="H24" s="1700" t="s">
        <v>22</v>
      </c>
      <c r="I24" s="1700" t="s">
        <v>22</v>
      </c>
    </row>
    <row customHeight="1" ht="11.25">
      <c r="A25" s="1700" t="s">
        <v>181</v>
      </c>
      <c r="B25" s="1700" t="s">
        <v>4590</v>
      </c>
      <c r="C25" s="1700" t="s">
        <v>22</v>
      </c>
      <c r="D25" s="1700" t="s">
        <v>4579</v>
      </c>
      <c r="E25" s="1700" t="s">
        <v>4580</v>
      </c>
      <c r="F25" s="1700" t="s">
        <v>22</v>
      </c>
      <c r="G25" s="1700" t="s">
        <v>22</v>
      </c>
      <c r="H25" s="1700" t="s">
        <v>22</v>
      </c>
      <c r="I25" s="1700" t="s">
        <v>22</v>
      </c>
    </row>
    <row customHeight="1" ht="11.25">
      <c r="A26" s="1700" t="s">
        <v>184</v>
      </c>
      <c r="B26" s="1700" t="s">
        <v>4591</v>
      </c>
      <c r="C26" s="1700" t="s">
        <v>22</v>
      </c>
      <c r="D26" s="1700" t="s">
        <v>4572</v>
      </c>
      <c r="E26" s="1700" t="s">
        <v>4554</v>
      </c>
      <c r="F26" s="1700" t="s">
        <v>22</v>
      </c>
      <c r="G26" s="1700" t="s">
        <v>22</v>
      </c>
      <c r="H26" s="1700" t="s">
        <v>22</v>
      </c>
      <c r="I26" s="1700" t="s">
        <v>22</v>
      </c>
    </row>
    <row customHeight="1" ht="11.25">
      <c r="A27" s="1700" t="s">
        <v>187</v>
      </c>
      <c r="B27" s="1700" t="s">
        <v>4592</v>
      </c>
      <c r="C27" s="1700" t="s">
        <v>22</v>
      </c>
      <c r="D27" s="1700" t="s">
        <v>4579</v>
      </c>
      <c r="E27" s="1700" t="s">
        <v>4580</v>
      </c>
      <c r="F27" s="1700" t="s">
        <v>22</v>
      </c>
      <c r="G27" s="1700" t="s">
        <v>22</v>
      </c>
      <c r="H27" s="1700" t="s">
        <v>22</v>
      </c>
      <c r="I27" s="1700" t="s">
        <v>22</v>
      </c>
    </row>
    <row customHeight="1" ht="11.25">
      <c r="A28" s="1700" t="s">
        <v>190</v>
      </c>
      <c r="B28" s="1700" t="s">
        <v>4593</v>
      </c>
      <c r="C28" s="1700" t="s">
        <v>22</v>
      </c>
      <c r="D28" s="1700" t="s">
        <v>4579</v>
      </c>
      <c r="E28" s="1700" t="s">
        <v>4580</v>
      </c>
      <c r="F28" s="1700" t="s">
        <v>22</v>
      </c>
      <c r="G28" s="1700" t="s">
        <v>22</v>
      </c>
      <c r="H28" s="1700" t="s">
        <v>22</v>
      </c>
      <c r="I28" s="1700" t="s">
        <v>22</v>
      </c>
    </row>
    <row customHeight="1" ht="11.25">
      <c r="A29" s="1700" t="s">
        <v>193</v>
      </c>
      <c r="B29" s="1700" t="s">
        <v>4594</v>
      </c>
      <c r="C29" s="1700" t="s">
        <v>22</v>
      </c>
      <c r="D29" s="1700" t="s">
        <v>4579</v>
      </c>
      <c r="E29" s="1700" t="s">
        <v>4580</v>
      </c>
      <c r="F29" s="1700" t="s">
        <v>22</v>
      </c>
      <c r="G29" s="1700" t="s">
        <v>22</v>
      </c>
      <c r="H29" s="1700" t="s">
        <v>22</v>
      </c>
      <c r="I29" s="1700" t="s">
        <v>22</v>
      </c>
    </row>
    <row customHeight="1" ht="11.25">
      <c r="A30" s="1700" t="s">
        <v>1663</v>
      </c>
      <c r="B30" s="1700" t="s">
        <v>4595</v>
      </c>
      <c r="C30" s="1700" t="s">
        <v>22</v>
      </c>
      <c r="D30" s="1700" t="s">
        <v>4579</v>
      </c>
      <c r="E30" s="1700" t="s">
        <v>4580</v>
      </c>
      <c r="F30" s="1700" t="s">
        <v>22</v>
      </c>
      <c r="G30" s="1700" t="s">
        <v>22</v>
      </c>
      <c r="H30" s="1700" t="s">
        <v>22</v>
      </c>
      <c r="I30" s="1700" t="s">
        <v>22</v>
      </c>
    </row>
    <row customHeight="1" ht="11.25">
      <c r="A31" s="1700" t="s">
        <v>1669</v>
      </c>
      <c r="B31" s="1700" t="s">
        <v>4596</v>
      </c>
      <c r="C31" s="1700" t="s">
        <v>22</v>
      </c>
      <c r="D31" s="1700" t="s">
        <v>4579</v>
      </c>
      <c r="E31" s="1700" t="s">
        <v>4580</v>
      </c>
      <c r="F31" s="1700" t="s">
        <v>22</v>
      </c>
      <c r="G31" s="1700" t="s">
        <v>22</v>
      </c>
      <c r="H31" s="1700" t="s">
        <v>22</v>
      </c>
      <c r="I31" s="1700" t="s">
        <v>22</v>
      </c>
    </row>
    <row customHeight="1" ht="11.25">
      <c r="A32" s="1700" t="s">
        <v>1671</v>
      </c>
      <c r="B32" s="1700" t="s">
        <v>4597</v>
      </c>
      <c r="C32" s="1700" t="s">
        <v>22</v>
      </c>
      <c r="D32" s="1700" t="s">
        <v>4579</v>
      </c>
      <c r="E32" s="1700" t="s">
        <v>4584</v>
      </c>
      <c r="F32" s="1700" t="s">
        <v>22</v>
      </c>
      <c r="G32" s="1700" t="s">
        <v>22</v>
      </c>
      <c r="H32" s="1700" t="s">
        <v>22</v>
      </c>
      <c r="I32" s="1700" t="s">
        <v>22</v>
      </c>
    </row>
    <row customHeight="1" ht="11.25">
      <c r="A33" s="1700" t="s">
        <v>1673</v>
      </c>
      <c r="B33" s="1700" t="s">
        <v>4598</v>
      </c>
      <c r="C33" s="1700" t="s">
        <v>22</v>
      </c>
      <c r="D33" s="1700" t="s">
        <v>4579</v>
      </c>
      <c r="E33" s="1700" t="s">
        <v>4580</v>
      </c>
      <c r="F33" s="1700" t="s">
        <v>22</v>
      </c>
      <c r="G33" s="1700" t="s">
        <v>22</v>
      </c>
      <c r="H33" s="1700" t="s">
        <v>22</v>
      </c>
      <c r="I33" s="1700" t="s">
        <v>22</v>
      </c>
    </row>
    <row customHeight="1" ht="11.25">
      <c r="A34" s="1700" t="s">
        <v>1675</v>
      </c>
      <c r="B34" s="1700" t="s">
        <v>4599</v>
      </c>
      <c r="C34" s="1700" t="s">
        <v>22</v>
      </c>
      <c r="D34" s="1700" t="s">
        <v>4579</v>
      </c>
      <c r="E34" s="1700" t="s">
        <v>4580</v>
      </c>
      <c r="F34" s="1700" t="s">
        <v>22</v>
      </c>
      <c r="G34" s="1700" t="s">
        <v>22</v>
      </c>
      <c r="H34" s="1700" t="s">
        <v>22</v>
      </c>
      <c r="I34" s="1700" t="s">
        <v>22</v>
      </c>
    </row>
    <row customHeight="1" ht="11.25">
      <c r="A35" s="1700" t="s">
        <v>1680</v>
      </c>
      <c r="B35" s="1700" t="s">
        <v>4600</v>
      </c>
      <c r="C35" s="1700" t="s">
        <v>22</v>
      </c>
      <c r="D35" s="1700" t="s">
        <v>4579</v>
      </c>
      <c r="E35" s="1700" t="s">
        <v>4580</v>
      </c>
      <c r="F35" s="1700" t="s">
        <v>22</v>
      </c>
      <c r="G35" s="1700" t="s">
        <v>22</v>
      </c>
      <c r="H35" s="1700" t="s">
        <v>22</v>
      </c>
      <c r="I35" s="1700" t="s">
        <v>22</v>
      </c>
    </row>
    <row customHeight="1" ht="11.25">
      <c r="A36" s="1700" t="s">
        <v>1685</v>
      </c>
      <c r="B36" s="1700" t="s">
        <v>4601</v>
      </c>
      <c r="C36" s="1700" t="s">
        <v>22</v>
      </c>
      <c r="D36" s="1700" t="s">
        <v>4579</v>
      </c>
      <c r="E36" s="1700" t="s">
        <v>4580</v>
      </c>
      <c r="F36" s="1700" t="s">
        <v>22</v>
      </c>
      <c r="G36" s="1700" t="s">
        <v>22</v>
      </c>
      <c r="H36" s="1700" t="s">
        <v>22</v>
      </c>
      <c r="I36" s="1700" t="s">
        <v>22</v>
      </c>
    </row>
    <row customHeight="1" ht="11.25">
      <c r="A37" s="1700" t="s">
        <v>1689</v>
      </c>
      <c r="B37" s="1700" t="s">
        <v>4602</v>
      </c>
      <c r="C37" s="1700" t="s">
        <v>22</v>
      </c>
      <c r="D37" s="1700" t="s">
        <v>4603</v>
      </c>
      <c r="E37" s="1700" t="s">
        <v>4604</v>
      </c>
      <c r="F37" s="1700" t="s">
        <v>22</v>
      </c>
      <c r="G37" s="1700" t="s">
        <v>22</v>
      </c>
      <c r="H37" s="1700" t="s">
        <v>22</v>
      </c>
      <c r="I37" s="1700" t="s">
        <v>22</v>
      </c>
    </row>
    <row customHeight="1" ht="11.25">
      <c r="A38" s="1700" t="s">
        <v>1697</v>
      </c>
      <c r="B38" s="1700" t="s">
        <v>4605</v>
      </c>
      <c r="C38" s="1700" t="s">
        <v>22</v>
      </c>
      <c r="D38" s="1700" t="s">
        <v>4606</v>
      </c>
      <c r="E38" s="1700" t="s">
        <v>4577</v>
      </c>
      <c r="F38" s="1700" t="s">
        <v>22</v>
      </c>
      <c r="G38" s="1700" t="s">
        <v>22</v>
      </c>
      <c r="H38" s="1700" t="s">
        <v>22</v>
      </c>
      <c r="I38" s="1700" t="s">
        <v>22</v>
      </c>
    </row>
    <row customHeight="1" ht="11.25">
      <c r="A39" s="1700" t="s">
        <v>1703</v>
      </c>
      <c r="B39" s="1700" t="s">
        <v>4607</v>
      </c>
      <c r="C39" s="1700" t="s">
        <v>22</v>
      </c>
      <c r="D39" s="1700" t="s">
        <v>4556</v>
      </c>
      <c r="E39" s="1700" t="s">
        <v>4560</v>
      </c>
      <c r="F39" s="1700" t="s">
        <v>22</v>
      </c>
      <c r="G39" s="1700" t="s">
        <v>22</v>
      </c>
      <c r="H39" s="1700" t="s">
        <v>22</v>
      </c>
      <c r="I39" s="1700" t="s">
        <v>22</v>
      </c>
    </row>
    <row customHeight="1" ht="11.25">
      <c r="A40" s="1700" t="s">
        <v>1708</v>
      </c>
      <c r="B40" s="1700" t="s">
        <v>4608</v>
      </c>
      <c r="C40" s="1700" t="s">
        <v>22</v>
      </c>
      <c r="D40" s="1700" t="s">
        <v>4609</v>
      </c>
      <c r="E40" s="1700" t="s">
        <v>4610</v>
      </c>
      <c r="F40" s="1700" t="s">
        <v>22</v>
      </c>
      <c r="G40" s="1700" t="s">
        <v>22</v>
      </c>
      <c r="H40" s="1700" t="s">
        <v>22</v>
      </c>
      <c r="I40" s="1700" t="s">
        <v>22</v>
      </c>
    </row>
    <row customHeight="1" ht="11.25">
      <c r="A41" s="1700" t="s">
        <v>1712</v>
      </c>
      <c r="B41" s="1700" t="s">
        <v>4611</v>
      </c>
      <c r="C41" s="1700" t="s">
        <v>22</v>
      </c>
      <c r="D41" s="1700" t="s">
        <v>4556</v>
      </c>
      <c r="E41" s="1700" t="s">
        <v>4612</v>
      </c>
      <c r="F41" s="1700" t="s">
        <v>22</v>
      </c>
      <c r="G41" s="1700" t="s">
        <v>22</v>
      </c>
      <c r="H41" s="1700" t="s">
        <v>22</v>
      </c>
      <c r="I41" s="1700" t="s">
        <v>22</v>
      </c>
    </row>
    <row customHeight="1" ht="11.25">
      <c r="A42" s="1700" t="s">
        <v>1715</v>
      </c>
      <c r="B42" s="1700" t="s">
        <v>4613</v>
      </c>
      <c r="C42" s="1700" t="s">
        <v>22</v>
      </c>
      <c r="D42" s="1700" t="s">
        <v>4556</v>
      </c>
      <c r="E42" s="1700" t="s">
        <v>4612</v>
      </c>
      <c r="F42" s="1700" t="s">
        <v>22</v>
      </c>
      <c r="G42" s="1700" t="s">
        <v>22</v>
      </c>
      <c r="H42" s="1700" t="s">
        <v>22</v>
      </c>
      <c r="I42" s="1700" t="s">
        <v>22</v>
      </c>
    </row>
    <row customHeight="1" ht="11.25">
      <c r="A43" s="1700" t="s">
        <v>1722</v>
      </c>
      <c r="B43" s="1700" t="s">
        <v>4614</v>
      </c>
      <c r="C43" s="1700" t="s">
        <v>22</v>
      </c>
      <c r="D43" s="1700" t="s">
        <v>4556</v>
      </c>
      <c r="E43" s="1700" t="s">
        <v>4612</v>
      </c>
      <c r="F43" s="1700" t="s">
        <v>22</v>
      </c>
      <c r="G43" s="1700" t="s">
        <v>22</v>
      </c>
      <c r="H43" s="1700" t="s">
        <v>22</v>
      </c>
      <c r="I43" s="1700" t="s">
        <v>22</v>
      </c>
    </row>
    <row customHeight="1" ht="11.25">
      <c r="A44" s="1700" t="s">
        <v>1731</v>
      </c>
      <c r="B44" s="1700" t="s">
        <v>4615</v>
      </c>
      <c r="C44" s="1700" t="s">
        <v>22</v>
      </c>
      <c r="D44" s="1700" t="s">
        <v>4556</v>
      </c>
      <c r="E44" s="1700" t="s">
        <v>4560</v>
      </c>
      <c r="F44" s="1700" t="s">
        <v>22</v>
      </c>
      <c r="G44" s="1700" t="s">
        <v>22</v>
      </c>
      <c r="H44" s="1700" t="s">
        <v>22</v>
      </c>
      <c r="I44" s="1700" t="s">
        <v>22</v>
      </c>
    </row>
    <row customHeight="1" ht="11.25">
      <c r="A45" s="1700" t="s">
        <v>1736</v>
      </c>
      <c r="B45" s="1700" t="s">
        <v>4616</v>
      </c>
      <c r="C45" s="1700" t="s">
        <v>22</v>
      </c>
      <c r="D45" s="1700" t="s">
        <v>4556</v>
      </c>
      <c r="E45" s="1700" t="s">
        <v>4564</v>
      </c>
      <c r="F45" s="1700" t="s">
        <v>22</v>
      </c>
      <c r="G45" s="1700" t="s">
        <v>22</v>
      </c>
      <c r="H45" s="1700" t="s">
        <v>22</v>
      </c>
      <c r="I45"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301805-BB11-48DE-832C-0.DBED529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A845F-DAA3-1BEE-E8CA-0.F9A7A20A}"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customWidth="1"/>
    <col min="12" max="12" style="1644" width="9.7109375" customWidth="1"/>
    <col min="13" max="18" style="1644" width="19.8515625"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hidden="1" customWidth="1"/>
    <col min="30" max="30" style="1644" width="1.7109375" hidden="1" customWidth="1"/>
    <col min="31" max="31" style="1644" width="103.7109375" customWidth="1"/>
    <col min="32" max="34" style="1644" width="103.7109375" hidden="1"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425</v>
      </c>
      <c r="I1" s="2226"/>
      <c r="J1" s="2226"/>
      <c r="K1" s="2226"/>
      <c r="L1" s="2226"/>
      <c r="M1" s="2226"/>
      <c r="N1" s="2226"/>
      <c r="O1" s="2226"/>
      <c r="P1" s="2226"/>
      <c r="Q1" s="2226"/>
      <c r="R1" s="2226"/>
      <c r="T1" s="2226" t="s">
        <v>426</v>
      </c>
      <c r="U1" s="2226"/>
      <c r="V1" s="2226"/>
      <c r="X1" s="2226" t="s">
        <v>427</v>
      </c>
      <c r="Y1" s="2226"/>
      <c r="Z1" s="2226"/>
      <c r="AB1" s="2226" t="s">
        <v>428</v>
      </c>
      <c r="AC1" s="2226"/>
      <c r="AT1" s="456" t="s">
        <v>14</v>
      </c>
    </row>
    <row customHeight="1" ht="14.25" hidden="1">
      <c r="AT2" s="456">
        <v>0</v>
      </c>
    </row>
    <row s="1622" customFormat="1" customHeight="1" ht="5.25">
      <c r="C3" s="710"/>
      <c r="D3" s="711"/>
      <c r="E3" s="711"/>
      <c r="F3" s="711"/>
      <c r="G3" s="711"/>
      <c r="H3" s="711" t="s">
        <v>429</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ООО "СамРЭК-Тепло Жигулевск"</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373</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374</v>
      </c>
      <c r="AF7" s="2232" t="s">
        <v>374</v>
      </c>
      <c r="AG7" s="2232" t="s">
        <v>374</v>
      </c>
      <c r="AH7" s="2232" t="s">
        <v>374</v>
      </c>
      <c r="AT7" s="456">
        <v>14</v>
      </c>
    </row>
    <row customHeight="1" ht="27.299999999999997">
      <c r="C8" s="459"/>
      <c r="D8" s="2136" t="s">
        <v>88</v>
      </c>
      <c r="E8" s="2232" t="str">
        <f>"Наименование "&amp;IF(TEMPLATE_SPHERE&lt;&gt;"HEAT","централизованной ","")&amp;"системы "&amp;TEMPLATE_SPHERE_RUS</f>
        <v>Наименование системы теплоснабжения</v>
      </c>
      <c r="F8" s="2232" t="str">
        <f>IF(TEMPLATE_SPHERE&lt;&gt;"HEAT","Регулируемый вид деятельности","Вид регулируемой деятельности")</f>
        <v>Вид регулируемой деятельности</v>
      </c>
      <c r="G8" s="837"/>
      <c r="H8" s="2233" t="s">
        <v>430</v>
      </c>
      <c r="I8" s="2235" t="s">
        <v>431</v>
      </c>
      <c r="J8" s="2232" t="s">
        <v>432</v>
      </c>
      <c r="K8" s="2232"/>
      <c r="L8" s="2232"/>
      <c r="M8" s="2227"/>
      <c r="N8" s="2232" t="s">
        <v>433</v>
      </c>
      <c r="O8" s="2232"/>
      <c r="P8" s="2232" t="s">
        <v>434</v>
      </c>
      <c r="Q8" s="2232"/>
      <c r="R8" s="2239" t="s">
        <v>435</v>
      </c>
      <c r="S8" s="833"/>
      <c r="T8" s="2237" t="s">
        <v>436</v>
      </c>
      <c r="U8" s="2237" t="s">
        <v>437</v>
      </c>
      <c r="V8" s="2237" t="s">
        <v>438</v>
      </c>
      <c r="W8" s="835"/>
      <c r="X8" s="2237" t="s">
        <v>439</v>
      </c>
      <c r="Y8" s="2237" t="s">
        <v>440</v>
      </c>
      <c r="Z8" s="2237" t="s">
        <v>441</v>
      </c>
      <c r="AA8" s="835"/>
      <c r="AB8" s="2237" t="s">
        <v>442</v>
      </c>
      <c r="AC8" s="2237" t="s">
        <v>435</v>
      </c>
      <c r="AD8" s="835"/>
      <c r="AE8" s="2232"/>
      <c r="AF8" s="2232"/>
      <c r="AG8" s="2232"/>
      <c r="AH8" s="2232"/>
      <c r="AT8" s="456">
        <v>26</v>
      </c>
    </row>
    <row customHeight="1" ht="46.199999999999996">
      <c r="C9" s="459"/>
      <c r="D9" s="2136"/>
      <c r="E9" s="2232"/>
      <c r="F9" s="2232"/>
      <c r="G9" s="838"/>
      <c r="H9" s="2234"/>
      <c r="I9" s="2236"/>
      <c r="J9" s="434" t="s">
        <v>443</v>
      </c>
      <c r="K9" s="434" t="s">
        <v>444</v>
      </c>
      <c r="L9" s="434" t="s">
        <v>445</v>
      </c>
      <c r="M9" s="440" t="s">
        <v>446</v>
      </c>
      <c r="N9" s="434" t="s">
        <v>447</v>
      </c>
      <c r="O9" s="434" t="s">
        <v>446</v>
      </c>
      <c r="P9" s="434" t="s">
        <v>448</v>
      </c>
      <c r="Q9" s="434" t="s">
        <v>446</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449</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109</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450</v>
      </c>
      <c r="AF12" s="2230" t="s">
        <v>451</v>
      </c>
      <c r="AG12" s="2230" t="s">
        <v>452</v>
      </c>
      <c r="AH12" s="2230" t="s">
        <v>453</v>
      </c>
      <c r="AI12" s="456"/>
      <c r="AM12" s="520"/>
      <c r="AP12" s="509" t="s">
        <v>454</v>
      </c>
      <c r="AQ12" s="509" t="s">
        <v>454</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82</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B9CBD8-FD72-4CBF-A10C-0.A04A9CF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211</v>
      </c>
      <c r="B1" s="192" t="s">
        <v>4617</v>
      </c>
    </row>
    <row customHeight="1" ht="11.25">
      <c r="A2" s="192" t="s">
        <v>98</v>
      </c>
      <c r="B2" s="192" t="s">
        <v>4618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993DC-99CC-AA0A-6529-0.D670DAE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4619</v>
      </c>
      <c r="B1" s="844" t="s">
        <v>4620</v>
      </c>
    </row>
    <row customHeight="1" ht="11.25">
      <c r="A2" s="844">
        <v>4213775</v>
      </c>
      <c r="B2" s="844" t="s">
        <v>1322</v>
      </c>
    </row>
    <row customHeight="1" ht="11.25">
      <c r="A3" s="844">
        <v>4213784</v>
      </c>
      <c r="B3" s="844" t="s">
        <v>1355</v>
      </c>
    </row>
    <row customHeight="1" ht="11.25">
      <c r="A4" s="844">
        <v>4213781</v>
      </c>
      <c r="B4" s="844" t="s">
        <v>1348</v>
      </c>
    </row>
    <row customHeight="1" ht="11.25">
      <c r="A5" s="844">
        <v>4213776</v>
      </c>
      <c r="B5" s="844" t="s">
        <v>241</v>
      </c>
    </row>
    <row customHeight="1" ht="11.25">
      <c r="A6" s="844">
        <v>4213777</v>
      </c>
      <c r="B6" s="844" t="s">
        <v>247</v>
      </c>
    </row>
    <row customHeight="1" ht="11.25">
      <c r="A7" s="844">
        <v>4213778</v>
      </c>
      <c r="B7" s="844" t="s">
        <v>253</v>
      </c>
    </row>
    <row customHeight="1" ht="11.25">
      <c r="A8" s="844">
        <v>4213780</v>
      </c>
      <c r="B8" s="844" t="s">
        <v>259</v>
      </c>
    </row>
    <row customHeight="1" ht="11.25">
      <c r="A9" s="844">
        <v>4213779</v>
      </c>
      <c r="B9" s="844" t="s">
        <v>1489</v>
      </c>
    </row>
    <row customHeight="1" ht="11.25">
      <c r="A10" s="844">
        <v>4213783</v>
      </c>
      <c r="B10" s="844" t="s">
        <v>1504</v>
      </c>
    </row>
    <row customHeight="1" ht="11.25">
      <c r="A11" s="844">
        <v>4213782</v>
      </c>
      <c r="B11" s="844" t="s">
        <v>265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E125F5-4024-C2D9-A513-0.A9EBCAD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4619</v>
      </c>
      <c r="B1" s="844" t="s">
        <v>4621</v>
      </c>
    </row>
    <row customHeight="1" ht="11.25">
      <c r="A2" s="844" t="s">
        <v>119</v>
      </c>
      <c r="B2" s="844" t="s">
        <v>1598</v>
      </c>
    </row>
    <row customHeight="1" ht="11.25">
      <c r="A3" s="844" t="s">
        <v>4622</v>
      </c>
      <c r="B3" s="844" t="s">
        <v>1607</v>
      </c>
    </row>
    <row customHeight="1" ht="11.25">
      <c r="A4" s="844" t="s">
        <v>4623</v>
      </c>
      <c r="B4" s="844" t="s">
        <v>1615</v>
      </c>
    </row>
    <row customHeight="1" ht="11.25">
      <c r="A5" s="844" t="s">
        <v>199</v>
      </c>
      <c r="B5" s="844" t="s">
        <v>1624</v>
      </c>
    </row>
    <row customHeight="1" ht="11.25">
      <c r="A6" s="844" t="s">
        <v>4624</v>
      </c>
      <c r="B6" s="844" t="s">
        <v>1629</v>
      </c>
    </row>
    <row customHeight="1" ht="11.25">
      <c r="A7" s="844" t="s">
        <v>4625</v>
      </c>
      <c r="B7" s="844" t="s">
        <v>1636</v>
      </c>
    </row>
    <row customHeight="1" ht="11.25">
      <c r="A8" s="844" t="s">
        <v>4626</v>
      </c>
      <c r="B8" s="844" t="s">
        <v>1642</v>
      </c>
    </row>
    <row customHeight="1" ht="11.25">
      <c r="A9" s="844" t="s">
        <v>4627</v>
      </c>
      <c r="B9" s="844" t="s">
        <v>1647</v>
      </c>
    </row>
    <row customHeight="1" ht="11.25">
      <c r="A10" s="844" t="s">
        <v>4628</v>
      </c>
      <c r="B10" s="844" t="s">
        <v>1650</v>
      </c>
    </row>
    <row customHeight="1" ht="11.25">
      <c r="A11" s="844" t="s">
        <v>4629</v>
      </c>
      <c r="B11" s="844" t="s">
        <v>1656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7089B4-6681-066D-D35A-0.BCD19E4F}" mc:Ignorable="x14ac xr xr2 xr3">
  <sheetPr>
    <tabColor rgb="FFFFCC99"/>
  </sheetPr>
  <dimension ref="A1:G344"/>
  <sheetViews>
    <sheetView topLeftCell="A1" showGridLines="0" workbookViewId="0">
      <selection activeCell="A1" sqref="A1"/>
    </sheetView>
  </sheetViews>
  <sheetFormatPr customHeight="1" defaultRowHeight="11.25"/>
  <sheetData>
    <row customHeight="1" ht="11.25">
      <c r="A1" s="382" t="s">
        <v>3572</v>
      </c>
      <c r="B1" s="382" t="s">
        <v>3573</v>
      </c>
      <c r="C1" s="382" t="s">
        <v>3574</v>
      </c>
      <c r="D1" s="382" t="s">
        <v>3575</v>
      </c>
      <c r="E1" s="0" t="s">
        <v>3576</v>
      </c>
      <c r="F1" s="0" t="s">
        <v>3577</v>
      </c>
      <c r="G1" s="0" t="s">
        <v>3578</v>
      </c>
    </row>
    <row customHeight="1" ht="11.25">
      <c r="A2" s="0" t="s">
        <v>16</v>
      </c>
      <c r="B2" s="0" t="s">
        <v>3579</v>
      </c>
      <c r="C2" s="0" t="s">
        <v>3580</v>
      </c>
      <c r="D2" s="0" t="s">
        <v>3579</v>
      </c>
      <c r="E2" s="0" t="s">
        <v>3580</v>
      </c>
      <c r="F2" s="0" t="s">
        <v>3581</v>
      </c>
      <c r="G2" s="0" t="s">
        <v>109</v>
      </c>
    </row>
    <row customHeight="1" ht="11.25">
      <c r="A3" s="0" t="s">
        <v>16</v>
      </c>
      <c r="B3" s="0" t="s">
        <v>3579</v>
      </c>
      <c r="C3" s="0" t="s">
        <v>3580</v>
      </c>
      <c r="D3" s="0" t="s">
        <v>3582</v>
      </c>
      <c r="E3" s="0" t="s">
        <v>3583</v>
      </c>
      <c r="F3" s="0" t="s">
        <v>3584</v>
      </c>
      <c r="G3" s="0" t="s">
        <v>110</v>
      </c>
    </row>
    <row customHeight="1" ht="11.25">
      <c r="A4" s="0" t="s">
        <v>16</v>
      </c>
      <c r="B4" s="0" t="s">
        <v>3579</v>
      </c>
      <c r="C4" s="0" t="s">
        <v>3580</v>
      </c>
      <c r="D4" s="0" t="s">
        <v>3585</v>
      </c>
      <c r="E4" s="0" t="s">
        <v>3586</v>
      </c>
      <c r="F4" s="0" t="s">
        <v>3584</v>
      </c>
      <c r="G4" s="0" t="s">
        <v>90</v>
      </c>
    </row>
    <row customHeight="1" ht="11.25">
      <c r="A5" s="0" t="s">
        <v>16</v>
      </c>
      <c r="B5" s="0" t="s">
        <v>3579</v>
      </c>
      <c r="C5" s="0" t="s">
        <v>3580</v>
      </c>
      <c r="D5" s="0" t="s">
        <v>3587</v>
      </c>
      <c r="E5" s="0" t="s">
        <v>3588</v>
      </c>
      <c r="F5" s="0" t="s">
        <v>3584</v>
      </c>
      <c r="G5" s="0" t="s">
        <v>91</v>
      </c>
    </row>
    <row customHeight="1" ht="11.25">
      <c r="A6" s="0" t="s">
        <v>16</v>
      </c>
      <c r="B6" s="0" t="s">
        <v>3579</v>
      </c>
      <c r="C6" s="0" t="s">
        <v>3580</v>
      </c>
      <c r="D6" s="0" t="s">
        <v>3589</v>
      </c>
      <c r="E6" s="0" t="s">
        <v>3590</v>
      </c>
      <c r="F6" s="0" t="s">
        <v>3584</v>
      </c>
      <c r="G6" s="0" t="s">
        <v>111</v>
      </c>
    </row>
    <row customHeight="1" ht="11.25">
      <c r="A7" s="0" t="s">
        <v>16</v>
      </c>
      <c r="B7" s="0" t="s">
        <v>3579</v>
      </c>
      <c r="C7" s="0" t="s">
        <v>3580</v>
      </c>
      <c r="D7" s="0" t="s">
        <v>3591</v>
      </c>
      <c r="E7" s="0" t="s">
        <v>3592</v>
      </c>
      <c r="F7" s="0" t="s">
        <v>3584</v>
      </c>
      <c r="G7" s="0" t="s">
        <v>92</v>
      </c>
    </row>
    <row customHeight="1" ht="11.25">
      <c r="A8" s="0" t="s">
        <v>16</v>
      </c>
      <c r="B8" s="0" t="s">
        <v>3593</v>
      </c>
      <c r="C8" s="0" t="s">
        <v>3594</v>
      </c>
      <c r="D8" s="0" t="s">
        <v>3593</v>
      </c>
      <c r="E8" s="0" t="s">
        <v>3594</v>
      </c>
      <c r="F8" s="0" t="s">
        <v>3581</v>
      </c>
      <c r="G8" s="0" t="s">
        <v>93</v>
      </c>
    </row>
    <row customHeight="1" ht="11.25">
      <c r="A9" s="0" t="s">
        <v>16</v>
      </c>
      <c r="B9" s="0" t="s">
        <v>3593</v>
      </c>
      <c r="C9" s="0" t="s">
        <v>3594</v>
      </c>
      <c r="D9" s="0" t="s">
        <v>3595</v>
      </c>
      <c r="E9" s="0" t="s">
        <v>3596</v>
      </c>
      <c r="F9" s="0" t="s">
        <v>3597</v>
      </c>
      <c r="G9" s="0" t="s">
        <v>112</v>
      </c>
    </row>
    <row customHeight="1" ht="11.25">
      <c r="A10" s="0" t="s">
        <v>16</v>
      </c>
      <c r="B10" s="0" t="s">
        <v>3593</v>
      </c>
      <c r="C10" s="0" t="s">
        <v>3594</v>
      </c>
      <c r="D10" s="0" t="s">
        <v>3598</v>
      </c>
      <c r="E10" s="0" t="s">
        <v>3599</v>
      </c>
      <c r="F10" s="0" t="s">
        <v>3597</v>
      </c>
      <c r="G10" s="0" t="s">
        <v>136</v>
      </c>
    </row>
    <row customHeight="1" ht="11.25">
      <c r="A11" s="0" t="s">
        <v>16</v>
      </c>
      <c r="B11" s="0" t="s">
        <v>3593</v>
      </c>
      <c r="C11" s="0" t="s">
        <v>3594</v>
      </c>
      <c r="D11" s="0" t="s">
        <v>3600</v>
      </c>
      <c r="E11" s="0" t="s">
        <v>3601</v>
      </c>
      <c r="F11" s="0" t="s">
        <v>3584</v>
      </c>
      <c r="G11" s="0" t="s">
        <v>139</v>
      </c>
    </row>
    <row customHeight="1" ht="11.25">
      <c r="A12" s="0" t="s">
        <v>16</v>
      </c>
      <c r="B12" s="0" t="s">
        <v>3593</v>
      </c>
      <c r="C12" s="0" t="s">
        <v>3594</v>
      </c>
      <c r="D12" s="0" t="s">
        <v>3602</v>
      </c>
      <c r="E12" s="0" t="s">
        <v>3603</v>
      </c>
      <c r="F12" s="0" t="s">
        <v>3584</v>
      </c>
      <c r="G12" s="0" t="s">
        <v>142</v>
      </c>
    </row>
    <row customHeight="1" ht="11.25">
      <c r="A13" s="0" t="s">
        <v>16</v>
      </c>
      <c r="B13" s="0" t="s">
        <v>3593</v>
      </c>
      <c r="C13" s="0" t="s">
        <v>3594</v>
      </c>
      <c r="D13" s="0" t="s">
        <v>3604</v>
      </c>
      <c r="E13" s="0" t="s">
        <v>3605</v>
      </c>
      <c r="F13" s="0" t="s">
        <v>3584</v>
      </c>
      <c r="G13" s="0" t="s">
        <v>145</v>
      </c>
    </row>
    <row customHeight="1" ht="11.25">
      <c r="A14" s="0" t="s">
        <v>16</v>
      </c>
      <c r="B14" s="0" t="s">
        <v>3593</v>
      </c>
      <c r="C14" s="0" t="s">
        <v>3594</v>
      </c>
      <c r="D14" s="0" t="s">
        <v>3606</v>
      </c>
      <c r="E14" s="0" t="s">
        <v>3607</v>
      </c>
      <c r="F14" s="0" t="s">
        <v>3584</v>
      </c>
      <c r="G14" s="0" t="s">
        <v>148</v>
      </c>
    </row>
    <row customHeight="1" ht="11.25">
      <c r="A15" s="0" t="s">
        <v>16</v>
      </c>
      <c r="B15" s="0" t="s">
        <v>3593</v>
      </c>
      <c r="C15" s="0" t="s">
        <v>3594</v>
      </c>
      <c r="D15" s="0" t="s">
        <v>3608</v>
      </c>
      <c r="E15" s="0" t="s">
        <v>3609</v>
      </c>
      <c r="F15" s="0" t="s">
        <v>3584</v>
      </c>
      <c r="G15" s="0" t="s">
        <v>151</v>
      </c>
    </row>
    <row customHeight="1" ht="11.25">
      <c r="A16" s="0" t="s">
        <v>16</v>
      </c>
      <c r="B16" s="0" t="s">
        <v>3593</v>
      </c>
      <c r="C16" s="0" t="s">
        <v>3594</v>
      </c>
      <c r="D16" s="0" t="s">
        <v>3610</v>
      </c>
      <c r="E16" s="0" t="s">
        <v>3611</v>
      </c>
      <c r="F16" s="0" t="s">
        <v>3584</v>
      </c>
      <c r="G16" s="0" t="s">
        <v>154</v>
      </c>
    </row>
    <row customHeight="1" ht="11.25">
      <c r="A17" s="0" t="s">
        <v>16</v>
      </c>
      <c r="B17" s="0" t="s">
        <v>3593</v>
      </c>
      <c r="C17" s="0" t="s">
        <v>3594</v>
      </c>
      <c r="D17" s="0" t="s">
        <v>3612</v>
      </c>
      <c r="E17" s="0" t="s">
        <v>3613</v>
      </c>
      <c r="F17" s="0" t="s">
        <v>3584</v>
      </c>
      <c r="G17" s="0" t="s">
        <v>157</v>
      </c>
    </row>
    <row customHeight="1" ht="11.25">
      <c r="A18" s="0" t="s">
        <v>16</v>
      </c>
      <c r="B18" s="0" t="s">
        <v>3593</v>
      </c>
      <c r="C18" s="0" t="s">
        <v>3594</v>
      </c>
      <c r="D18" s="0" t="s">
        <v>3614</v>
      </c>
      <c r="E18" s="0" t="s">
        <v>3615</v>
      </c>
      <c r="F18" s="0" t="s">
        <v>3584</v>
      </c>
      <c r="G18" s="0" t="s">
        <v>160</v>
      </c>
    </row>
    <row customHeight="1" ht="11.25">
      <c r="A19" s="0" t="s">
        <v>16</v>
      </c>
      <c r="B19" s="0" t="s">
        <v>3593</v>
      </c>
      <c r="C19" s="0" t="s">
        <v>3594</v>
      </c>
      <c r="D19" s="0" t="s">
        <v>3616</v>
      </c>
      <c r="E19" s="0" t="s">
        <v>3617</v>
      </c>
      <c r="F19" s="0" t="s">
        <v>3584</v>
      </c>
      <c r="G19" s="0" t="s">
        <v>163</v>
      </c>
    </row>
    <row customHeight="1" ht="11.25">
      <c r="A20" s="0" t="s">
        <v>16</v>
      </c>
      <c r="B20" s="0" t="s">
        <v>3593</v>
      </c>
      <c r="C20" s="0" t="s">
        <v>3594</v>
      </c>
      <c r="D20" s="0" t="s">
        <v>3618</v>
      </c>
      <c r="E20" s="0" t="s">
        <v>3619</v>
      </c>
      <c r="F20" s="0" t="s">
        <v>3584</v>
      </c>
      <c r="G20" s="0" t="s">
        <v>166</v>
      </c>
    </row>
    <row customHeight="1" ht="11.25">
      <c r="A21" s="0" t="s">
        <v>16</v>
      </c>
      <c r="B21" s="0" t="s">
        <v>3620</v>
      </c>
      <c r="C21" s="0" t="s">
        <v>3621</v>
      </c>
      <c r="D21" s="0" t="s">
        <v>3620</v>
      </c>
      <c r="E21" s="0" t="s">
        <v>3621</v>
      </c>
      <c r="F21" s="0" t="s">
        <v>3581</v>
      </c>
      <c r="G21" s="0" t="s">
        <v>169</v>
      </c>
    </row>
    <row customHeight="1" ht="11.25">
      <c r="A22" s="0" t="s">
        <v>16</v>
      </c>
      <c r="B22" s="0" t="s">
        <v>3620</v>
      </c>
      <c r="C22" s="0" t="s">
        <v>3621</v>
      </c>
      <c r="D22" s="0" t="s">
        <v>3622</v>
      </c>
      <c r="E22" s="0" t="s">
        <v>3623</v>
      </c>
      <c r="F22" s="0" t="s">
        <v>3584</v>
      </c>
      <c r="G22" s="0" t="s">
        <v>172</v>
      </c>
    </row>
    <row customHeight="1" ht="11.25">
      <c r="A23" s="0" t="s">
        <v>16</v>
      </c>
      <c r="B23" s="0" t="s">
        <v>3620</v>
      </c>
      <c r="C23" s="0" t="s">
        <v>3621</v>
      </c>
      <c r="D23" s="0" t="s">
        <v>3624</v>
      </c>
      <c r="E23" s="0" t="s">
        <v>3625</v>
      </c>
      <c r="F23" s="0" t="s">
        <v>3584</v>
      </c>
      <c r="G23" s="0" t="s">
        <v>175</v>
      </c>
    </row>
    <row customHeight="1" ht="11.25">
      <c r="A24" s="0" t="s">
        <v>16</v>
      </c>
      <c r="B24" s="0" t="s">
        <v>3620</v>
      </c>
      <c r="C24" s="0" t="s">
        <v>3621</v>
      </c>
      <c r="D24" s="0" t="s">
        <v>3626</v>
      </c>
      <c r="E24" s="0" t="s">
        <v>3627</v>
      </c>
      <c r="F24" s="0" t="s">
        <v>3584</v>
      </c>
      <c r="G24" s="0" t="s">
        <v>178</v>
      </c>
    </row>
    <row customHeight="1" ht="11.25">
      <c r="A25" s="0" t="s">
        <v>16</v>
      </c>
      <c r="B25" s="0" t="s">
        <v>3620</v>
      </c>
      <c r="C25" s="0" t="s">
        <v>3621</v>
      </c>
      <c r="D25" s="0" t="s">
        <v>3628</v>
      </c>
      <c r="E25" s="0" t="s">
        <v>3629</v>
      </c>
      <c r="F25" s="0" t="s">
        <v>3584</v>
      </c>
      <c r="G25" s="0" t="s">
        <v>181</v>
      </c>
    </row>
    <row customHeight="1" ht="11.25">
      <c r="A26" s="0" t="s">
        <v>16</v>
      </c>
      <c r="B26" s="0" t="s">
        <v>3620</v>
      </c>
      <c r="C26" s="0" t="s">
        <v>3621</v>
      </c>
      <c r="D26" s="0" t="s">
        <v>3630</v>
      </c>
      <c r="E26" s="0" t="s">
        <v>3631</v>
      </c>
      <c r="F26" s="0" t="s">
        <v>3584</v>
      </c>
      <c r="G26" s="0" t="s">
        <v>184</v>
      </c>
    </row>
    <row customHeight="1" ht="11.25">
      <c r="A27" s="0" t="s">
        <v>16</v>
      </c>
      <c r="B27" s="0" t="s">
        <v>3632</v>
      </c>
      <c r="C27" s="0" t="s">
        <v>3633</v>
      </c>
      <c r="D27" s="0" t="s">
        <v>3632</v>
      </c>
      <c r="E27" s="0" t="s">
        <v>3633</v>
      </c>
      <c r="F27" s="0" t="s">
        <v>3581</v>
      </c>
      <c r="G27" s="0" t="s">
        <v>187</v>
      </c>
    </row>
    <row customHeight="1" ht="11.25">
      <c r="A28" s="0" t="s">
        <v>16</v>
      </c>
      <c r="B28" s="0" t="s">
        <v>3632</v>
      </c>
      <c r="C28" s="0" t="s">
        <v>3633</v>
      </c>
      <c r="D28" s="0" t="s">
        <v>3634</v>
      </c>
      <c r="E28" s="0" t="s">
        <v>3635</v>
      </c>
      <c r="F28" s="0" t="s">
        <v>3584</v>
      </c>
      <c r="G28" s="0" t="s">
        <v>190</v>
      </c>
    </row>
    <row customHeight="1" ht="11.25">
      <c r="A29" s="0" t="s">
        <v>16</v>
      </c>
      <c r="B29" s="0" t="s">
        <v>3632</v>
      </c>
      <c r="C29" s="0" t="s">
        <v>3633</v>
      </c>
      <c r="D29" s="0" t="s">
        <v>3636</v>
      </c>
      <c r="E29" s="0" t="s">
        <v>3637</v>
      </c>
      <c r="F29" s="0" t="s">
        <v>3584</v>
      </c>
      <c r="G29" s="0" t="s">
        <v>193</v>
      </c>
    </row>
    <row customHeight="1" ht="11.25">
      <c r="A30" s="0" t="s">
        <v>16</v>
      </c>
      <c r="B30" s="0" t="s">
        <v>3632</v>
      </c>
      <c r="C30" s="0" t="s">
        <v>3633</v>
      </c>
      <c r="D30" s="0" t="s">
        <v>3638</v>
      </c>
      <c r="E30" s="0" t="s">
        <v>3639</v>
      </c>
      <c r="F30" s="0" t="s">
        <v>3584</v>
      </c>
      <c r="G30" s="0" t="s">
        <v>1663</v>
      </c>
    </row>
    <row customHeight="1" ht="11.25">
      <c r="A31" s="0" t="s">
        <v>16</v>
      </c>
      <c r="B31" s="0" t="s">
        <v>3632</v>
      </c>
      <c r="C31" s="0" t="s">
        <v>3633</v>
      </c>
      <c r="D31" s="0" t="s">
        <v>3640</v>
      </c>
      <c r="E31" s="0" t="s">
        <v>3641</v>
      </c>
      <c r="F31" s="0" t="s">
        <v>3584</v>
      </c>
      <c r="G31" s="0" t="s">
        <v>1669</v>
      </c>
    </row>
    <row customHeight="1" ht="11.25">
      <c r="A32" s="0" t="s">
        <v>16</v>
      </c>
      <c r="B32" s="0" t="s">
        <v>3632</v>
      </c>
      <c r="C32" s="0" t="s">
        <v>3633</v>
      </c>
      <c r="D32" s="0" t="s">
        <v>3642</v>
      </c>
      <c r="E32" s="0" t="s">
        <v>3643</v>
      </c>
      <c r="F32" s="0" t="s">
        <v>3584</v>
      </c>
      <c r="G32" s="0" t="s">
        <v>1671</v>
      </c>
    </row>
    <row customHeight="1" ht="11.25">
      <c r="A33" s="0" t="s">
        <v>16</v>
      </c>
      <c r="B33" s="0" t="s">
        <v>3632</v>
      </c>
      <c r="C33" s="0" t="s">
        <v>3633</v>
      </c>
      <c r="D33" s="0" t="s">
        <v>3644</v>
      </c>
      <c r="E33" s="0" t="s">
        <v>3645</v>
      </c>
      <c r="F33" s="0" t="s">
        <v>3584</v>
      </c>
      <c r="G33" s="0" t="s">
        <v>1673</v>
      </c>
    </row>
    <row customHeight="1" ht="11.25">
      <c r="A34" s="0" t="s">
        <v>16</v>
      </c>
      <c r="B34" s="0" t="s">
        <v>3632</v>
      </c>
      <c r="C34" s="0" t="s">
        <v>3633</v>
      </c>
      <c r="D34" s="0" t="s">
        <v>3646</v>
      </c>
      <c r="E34" s="0" t="s">
        <v>3647</v>
      </c>
      <c r="F34" s="0" t="s">
        <v>3584</v>
      </c>
      <c r="G34" s="0" t="s">
        <v>1675</v>
      </c>
    </row>
    <row customHeight="1" ht="11.25">
      <c r="A35" s="0" t="s">
        <v>16</v>
      </c>
      <c r="B35" s="0" t="s">
        <v>3632</v>
      </c>
      <c r="C35" s="0" t="s">
        <v>3633</v>
      </c>
      <c r="D35" s="0" t="s">
        <v>3648</v>
      </c>
      <c r="E35" s="0" t="s">
        <v>3649</v>
      </c>
      <c r="F35" s="0" t="s">
        <v>3584</v>
      </c>
      <c r="G35" s="0" t="s">
        <v>1680</v>
      </c>
    </row>
    <row customHeight="1" ht="11.25">
      <c r="A36" s="0" t="s">
        <v>16</v>
      </c>
      <c r="B36" s="0" t="s">
        <v>3650</v>
      </c>
      <c r="C36" s="0" t="s">
        <v>3651</v>
      </c>
      <c r="D36" s="0" t="s">
        <v>3650</v>
      </c>
      <c r="E36" s="0" t="s">
        <v>3651</v>
      </c>
      <c r="F36" s="0" t="s">
        <v>3581</v>
      </c>
      <c r="G36" s="0" t="s">
        <v>1685</v>
      </c>
    </row>
    <row customHeight="1" ht="11.25">
      <c r="A37" s="0" t="s">
        <v>16</v>
      </c>
      <c r="B37" s="0" t="s">
        <v>3650</v>
      </c>
      <c r="C37" s="0" t="s">
        <v>3651</v>
      </c>
      <c r="D37" s="0" t="s">
        <v>3652</v>
      </c>
      <c r="E37" s="0" t="s">
        <v>3653</v>
      </c>
      <c r="F37" s="0" t="s">
        <v>3584</v>
      </c>
      <c r="G37" s="0" t="s">
        <v>1689</v>
      </c>
    </row>
    <row customHeight="1" ht="11.25">
      <c r="A38" s="0" t="s">
        <v>16</v>
      </c>
      <c r="B38" s="0" t="s">
        <v>3650</v>
      </c>
      <c r="C38" s="0" t="s">
        <v>3651</v>
      </c>
      <c r="D38" s="0" t="s">
        <v>3654</v>
      </c>
      <c r="E38" s="0" t="s">
        <v>3655</v>
      </c>
      <c r="F38" s="0" t="s">
        <v>3584</v>
      </c>
      <c r="G38" s="0" t="s">
        <v>1697</v>
      </c>
    </row>
    <row customHeight="1" ht="11.25">
      <c r="A39" s="0" t="s">
        <v>16</v>
      </c>
      <c r="B39" s="0" t="s">
        <v>3650</v>
      </c>
      <c r="C39" s="0" t="s">
        <v>3651</v>
      </c>
      <c r="D39" s="0" t="s">
        <v>3656</v>
      </c>
      <c r="E39" s="0" t="s">
        <v>3657</v>
      </c>
      <c r="F39" s="0" t="s">
        <v>3584</v>
      </c>
      <c r="G39" s="0" t="s">
        <v>1703</v>
      </c>
    </row>
    <row customHeight="1" ht="11.25">
      <c r="A40" s="0" t="s">
        <v>16</v>
      </c>
      <c r="B40" s="0" t="s">
        <v>3650</v>
      </c>
      <c r="C40" s="0" t="s">
        <v>3651</v>
      </c>
      <c r="D40" s="0" t="s">
        <v>3658</v>
      </c>
      <c r="E40" s="0" t="s">
        <v>3659</v>
      </c>
      <c r="F40" s="0" t="s">
        <v>3584</v>
      </c>
      <c r="G40" s="0" t="s">
        <v>1708</v>
      </c>
    </row>
    <row customHeight="1" ht="11.25">
      <c r="A41" s="0" t="s">
        <v>16</v>
      </c>
      <c r="B41" s="0" t="s">
        <v>3650</v>
      </c>
      <c r="C41" s="0" t="s">
        <v>3651</v>
      </c>
      <c r="D41" s="0" t="s">
        <v>3660</v>
      </c>
      <c r="E41" s="0" t="s">
        <v>3661</v>
      </c>
      <c r="F41" s="0" t="s">
        <v>3584</v>
      </c>
      <c r="G41" s="0" t="s">
        <v>1712</v>
      </c>
    </row>
    <row customHeight="1" ht="11.25">
      <c r="A42" s="0" t="s">
        <v>16</v>
      </c>
      <c r="B42" s="0" t="s">
        <v>3650</v>
      </c>
      <c r="C42" s="0" t="s">
        <v>3651</v>
      </c>
      <c r="D42" s="0" t="s">
        <v>3662</v>
      </c>
      <c r="E42" s="0" t="s">
        <v>3663</v>
      </c>
      <c r="F42" s="0" t="s">
        <v>3584</v>
      </c>
      <c r="G42" s="0" t="s">
        <v>1715</v>
      </c>
    </row>
    <row customHeight="1" ht="11.25">
      <c r="A43" s="0" t="s">
        <v>16</v>
      </c>
      <c r="B43" s="0" t="s">
        <v>3650</v>
      </c>
      <c r="C43" s="0" t="s">
        <v>3651</v>
      </c>
      <c r="D43" s="0" t="s">
        <v>3664</v>
      </c>
      <c r="E43" s="0" t="s">
        <v>3665</v>
      </c>
      <c r="F43" s="0" t="s">
        <v>3584</v>
      </c>
      <c r="G43" s="0" t="s">
        <v>1722</v>
      </c>
    </row>
    <row customHeight="1" ht="11.25">
      <c r="A44" s="0" t="s">
        <v>16</v>
      </c>
      <c r="B44" s="0" t="s">
        <v>3650</v>
      </c>
      <c r="C44" s="0" t="s">
        <v>3651</v>
      </c>
      <c r="D44" s="0" t="s">
        <v>3666</v>
      </c>
      <c r="E44" s="0" t="s">
        <v>3667</v>
      </c>
      <c r="F44" s="0" t="s">
        <v>3584</v>
      </c>
      <c r="G44" s="0" t="s">
        <v>1731</v>
      </c>
    </row>
    <row customHeight="1" ht="11.25">
      <c r="A45" s="0" t="s">
        <v>16</v>
      </c>
      <c r="B45" s="0" t="s">
        <v>3650</v>
      </c>
      <c r="C45" s="0" t="s">
        <v>3651</v>
      </c>
      <c r="D45" s="0" t="s">
        <v>3668</v>
      </c>
      <c r="E45" s="0" t="s">
        <v>3669</v>
      </c>
      <c r="F45" s="0" t="s">
        <v>3584</v>
      </c>
      <c r="G45" s="0" t="s">
        <v>1736</v>
      </c>
    </row>
    <row customHeight="1" ht="11.25">
      <c r="A46" s="0" t="s">
        <v>16</v>
      </c>
      <c r="B46" s="0" t="s">
        <v>3670</v>
      </c>
      <c r="C46" s="0" t="s">
        <v>3671</v>
      </c>
      <c r="D46" s="0" t="s">
        <v>3670</v>
      </c>
      <c r="E46" s="0" t="s">
        <v>3671</v>
      </c>
      <c r="F46" s="0" t="s">
        <v>3581</v>
      </c>
      <c r="G46" s="0" t="s">
        <v>1739</v>
      </c>
    </row>
    <row customHeight="1" ht="11.25">
      <c r="A47" s="0" t="s">
        <v>16</v>
      </c>
      <c r="B47" s="0" t="s">
        <v>3670</v>
      </c>
      <c r="C47" s="0" t="s">
        <v>3671</v>
      </c>
      <c r="D47" s="0" t="s">
        <v>3672</v>
      </c>
      <c r="E47" s="0" t="s">
        <v>3673</v>
      </c>
      <c r="F47" s="0" t="s">
        <v>3584</v>
      </c>
      <c r="G47" s="0" t="s">
        <v>1745</v>
      </c>
    </row>
    <row customHeight="1" ht="11.25">
      <c r="A48" s="0" t="s">
        <v>16</v>
      </c>
      <c r="B48" s="0" t="s">
        <v>3670</v>
      </c>
      <c r="C48" s="0" t="s">
        <v>3671</v>
      </c>
      <c r="D48" s="0" t="s">
        <v>3674</v>
      </c>
      <c r="E48" s="0" t="s">
        <v>3675</v>
      </c>
      <c r="F48" s="0" t="s">
        <v>3584</v>
      </c>
      <c r="G48" s="0" t="s">
        <v>1750</v>
      </c>
    </row>
    <row customHeight="1" ht="11.25">
      <c r="A49" s="0" t="s">
        <v>16</v>
      </c>
      <c r="B49" s="0" t="s">
        <v>3670</v>
      </c>
      <c r="C49" s="0" t="s">
        <v>3671</v>
      </c>
      <c r="D49" s="0" t="s">
        <v>3676</v>
      </c>
      <c r="E49" s="0" t="s">
        <v>3677</v>
      </c>
      <c r="F49" s="0" t="s">
        <v>3584</v>
      </c>
      <c r="G49" s="0" t="s">
        <v>1753</v>
      </c>
    </row>
    <row customHeight="1" ht="11.25">
      <c r="A50" s="0" t="s">
        <v>16</v>
      </c>
      <c r="B50" s="0" t="s">
        <v>3670</v>
      </c>
      <c r="C50" s="0" t="s">
        <v>3671</v>
      </c>
      <c r="D50" s="0" t="s">
        <v>3678</v>
      </c>
      <c r="E50" s="0" t="s">
        <v>3679</v>
      </c>
      <c r="F50" s="0" t="s">
        <v>3584</v>
      </c>
      <c r="G50" s="0" t="s">
        <v>1757</v>
      </c>
    </row>
    <row customHeight="1" ht="11.25">
      <c r="A51" s="0" t="s">
        <v>16</v>
      </c>
      <c r="B51" s="0" t="s">
        <v>3670</v>
      </c>
      <c r="C51" s="0" t="s">
        <v>3671</v>
      </c>
      <c r="D51" s="0" t="s">
        <v>3680</v>
      </c>
      <c r="E51" s="0" t="s">
        <v>3681</v>
      </c>
      <c r="F51" s="0" t="s">
        <v>3584</v>
      </c>
      <c r="G51" s="0" t="s">
        <v>1762</v>
      </c>
    </row>
    <row customHeight="1" ht="11.25">
      <c r="A52" s="0" t="s">
        <v>16</v>
      </c>
      <c r="B52" s="0" t="s">
        <v>3670</v>
      </c>
      <c r="C52" s="0" t="s">
        <v>3671</v>
      </c>
      <c r="D52" s="0" t="s">
        <v>3682</v>
      </c>
      <c r="E52" s="0" t="s">
        <v>3683</v>
      </c>
      <c r="F52" s="0" t="s">
        <v>3584</v>
      </c>
      <c r="G52" s="0" t="s">
        <v>1766</v>
      </c>
    </row>
    <row customHeight="1" ht="11.25">
      <c r="A53" s="0" t="s">
        <v>16</v>
      </c>
      <c r="B53" s="0" t="s">
        <v>3670</v>
      </c>
      <c r="C53" s="0" t="s">
        <v>3671</v>
      </c>
      <c r="D53" s="0" t="s">
        <v>3684</v>
      </c>
      <c r="E53" s="0" t="s">
        <v>3685</v>
      </c>
      <c r="F53" s="0" t="s">
        <v>3584</v>
      </c>
      <c r="G53" s="0" t="s">
        <v>1768</v>
      </c>
    </row>
    <row customHeight="1" ht="11.25">
      <c r="A54" s="0" t="s">
        <v>16</v>
      </c>
      <c r="B54" s="0" t="s">
        <v>3670</v>
      </c>
      <c r="C54" s="0" t="s">
        <v>3671</v>
      </c>
      <c r="D54" s="0" t="s">
        <v>3686</v>
      </c>
      <c r="E54" s="0" t="s">
        <v>3687</v>
      </c>
      <c r="F54" s="0" t="s">
        <v>3584</v>
      </c>
      <c r="G54" s="0" t="s">
        <v>1771</v>
      </c>
    </row>
    <row customHeight="1" ht="11.25">
      <c r="A55" s="0" t="s">
        <v>16</v>
      </c>
      <c r="B55" s="0" t="s">
        <v>3670</v>
      </c>
      <c r="C55" s="0" t="s">
        <v>3671</v>
      </c>
      <c r="D55" s="0" t="s">
        <v>3688</v>
      </c>
      <c r="E55" s="0" t="s">
        <v>3689</v>
      </c>
      <c r="F55" s="0" t="s">
        <v>3584</v>
      </c>
      <c r="G55" s="0" t="s">
        <v>1775</v>
      </c>
    </row>
    <row customHeight="1" ht="11.25">
      <c r="A56" s="0" t="s">
        <v>16</v>
      </c>
      <c r="B56" s="0" t="s">
        <v>3670</v>
      </c>
      <c r="C56" s="0" t="s">
        <v>3671</v>
      </c>
      <c r="D56" s="0" t="s">
        <v>3690</v>
      </c>
      <c r="E56" s="0" t="s">
        <v>3691</v>
      </c>
      <c r="F56" s="0" t="s">
        <v>3584</v>
      </c>
      <c r="G56" s="0" t="s">
        <v>1779</v>
      </c>
    </row>
    <row customHeight="1" ht="11.25">
      <c r="A57" s="0" t="s">
        <v>16</v>
      </c>
      <c r="B57" s="0" t="s">
        <v>3670</v>
      </c>
      <c r="C57" s="0" t="s">
        <v>3671</v>
      </c>
      <c r="D57" s="0" t="s">
        <v>3692</v>
      </c>
      <c r="E57" s="0" t="s">
        <v>3693</v>
      </c>
      <c r="F57" s="0" t="s">
        <v>3584</v>
      </c>
      <c r="G57" s="0" t="s">
        <v>1782</v>
      </c>
    </row>
    <row customHeight="1" ht="11.25">
      <c r="A58" s="0" t="s">
        <v>16</v>
      </c>
      <c r="B58" s="0" t="s">
        <v>3670</v>
      </c>
      <c r="C58" s="0" t="s">
        <v>3671</v>
      </c>
      <c r="D58" s="0" t="s">
        <v>3694</v>
      </c>
      <c r="E58" s="0" t="s">
        <v>3695</v>
      </c>
      <c r="F58" s="0" t="s">
        <v>3584</v>
      </c>
      <c r="G58" s="0" t="s">
        <v>1785</v>
      </c>
    </row>
    <row customHeight="1" ht="11.25">
      <c r="A59" s="0" t="s">
        <v>16</v>
      </c>
      <c r="B59" s="0" t="s">
        <v>3670</v>
      </c>
      <c r="C59" s="0" t="s">
        <v>3671</v>
      </c>
      <c r="D59" s="0" t="s">
        <v>3696</v>
      </c>
      <c r="E59" s="0" t="s">
        <v>3697</v>
      </c>
      <c r="F59" s="0" t="s">
        <v>3584</v>
      </c>
      <c r="G59" s="0" t="s">
        <v>1789</v>
      </c>
    </row>
    <row customHeight="1" ht="11.25">
      <c r="A60" s="0" t="s">
        <v>16</v>
      </c>
      <c r="B60" s="0" t="s">
        <v>3698</v>
      </c>
      <c r="C60" s="0" t="s">
        <v>3699</v>
      </c>
      <c r="D60" s="0" t="s">
        <v>3698</v>
      </c>
      <c r="E60" s="0" t="s">
        <v>3699</v>
      </c>
      <c r="F60" s="0" t="s">
        <v>3581</v>
      </c>
      <c r="G60" s="0" t="s">
        <v>1792</v>
      </c>
    </row>
    <row customHeight="1" ht="11.25">
      <c r="A61" s="0" t="s">
        <v>16</v>
      </c>
      <c r="B61" s="0" t="s">
        <v>3698</v>
      </c>
      <c r="C61" s="0" t="s">
        <v>3699</v>
      </c>
      <c r="D61" s="0" t="s">
        <v>3700</v>
      </c>
      <c r="E61" s="0" t="s">
        <v>3701</v>
      </c>
      <c r="F61" s="0" t="s">
        <v>3597</v>
      </c>
      <c r="G61" s="0" t="s">
        <v>3702</v>
      </c>
    </row>
    <row customHeight="1" ht="11.25">
      <c r="A62" s="0" t="s">
        <v>16</v>
      </c>
      <c r="B62" s="0" t="s">
        <v>3698</v>
      </c>
      <c r="C62" s="0" t="s">
        <v>3699</v>
      </c>
      <c r="D62" s="0" t="s">
        <v>3703</v>
      </c>
      <c r="E62" s="0" t="s">
        <v>3704</v>
      </c>
      <c r="F62" s="0" t="s">
        <v>3597</v>
      </c>
      <c r="G62" s="0" t="s">
        <v>3705</v>
      </c>
    </row>
    <row customHeight="1" ht="11.25">
      <c r="A63" s="0" t="s">
        <v>16</v>
      </c>
      <c r="B63" s="0" t="s">
        <v>3698</v>
      </c>
      <c r="C63" s="0" t="s">
        <v>3699</v>
      </c>
      <c r="D63" s="0" t="s">
        <v>3706</v>
      </c>
      <c r="E63" s="0" t="s">
        <v>3707</v>
      </c>
      <c r="F63" s="0" t="s">
        <v>3597</v>
      </c>
      <c r="G63" s="0" t="s">
        <v>3708</v>
      </c>
    </row>
    <row customHeight="1" ht="11.25">
      <c r="A64" s="0" t="s">
        <v>16</v>
      </c>
      <c r="B64" s="0" t="s">
        <v>3698</v>
      </c>
      <c r="C64" s="0" t="s">
        <v>3699</v>
      </c>
      <c r="D64" s="0" t="s">
        <v>3709</v>
      </c>
      <c r="E64" s="0" t="s">
        <v>3710</v>
      </c>
      <c r="F64" s="0" t="s">
        <v>3584</v>
      </c>
      <c r="G64" s="0" t="s">
        <v>3711</v>
      </c>
    </row>
    <row customHeight="1" ht="11.25">
      <c r="A65" s="0" t="s">
        <v>16</v>
      </c>
      <c r="B65" s="0" t="s">
        <v>3698</v>
      </c>
      <c r="C65" s="0" t="s">
        <v>3699</v>
      </c>
      <c r="D65" s="0" t="s">
        <v>3712</v>
      </c>
      <c r="E65" s="0" t="s">
        <v>3713</v>
      </c>
      <c r="F65" s="0" t="s">
        <v>3584</v>
      </c>
      <c r="G65" s="0" t="s">
        <v>3714</v>
      </c>
    </row>
    <row customHeight="1" ht="11.25">
      <c r="A66" s="0" t="s">
        <v>16</v>
      </c>
      <c r="B66" s="0" t="s">
        <v>3698</v>
      </c>
      <c r="C66" s="0" t="s">
        <v>3699</v>
      </c>
      <c r="D66" s="0" t="s">
        <v>3715</v>
      </c>
      <c r="E66" s="0" t="s">
        <v>3716</v>
      </c>
      <c r="F66" s="0" t="s">
        <v>3584</v>
      </c>
      <c r="G66" s="0" t="s">
        <v>3717</v>
      </c>
    </row>
    <row customHeight="1" ht="11.25">
      <c r="A67" s="0" t="s">
        <v>16</v>
      </c>
      <c r="B67" s="0" t="s">
        <v>3698</v>
      </c>
      <c r="C67" s="0" t="s">
        <v>3699</v>
      </c>
      <c r="D67" s="0" t="s">
        <v>3718</v>
      </c>
      <c r="E67" s="0" t="s">
        <v>3719</v>
      </c>
      <c r="F67" s="0" t="s">
        <v>3584</v>
      </c>
      <c r="G67" s="0" t="s">
        <v>2109</v>
      </c>
    </row>
    <row customHeight="1" ht="11.25">
      <c r="A68" s="0" t="s">
        <v>16</v>
      </c>
      <c r="B68" s="0" t="s">
        <v>3698</v>
      </c>
      <c r="C68" s="0" t="s">
        <v>3699</v>
      </c>
      <c r="D68" s="0" t="s">
        <v>3720</v>
      </c>
      <c r="E68" s="0" t="s">
        <v>3721</v>
      </c>
      <c r="F68" s="0" t="s">
        <v>3584</v>
      </c>
      <c r="G68" s="0" t="s">
        <v>3722</v>
      </c>
    </row>
    <row customHeight="1" ht="11.25">
      <c r="A69" s="0" t="s">
        <v>16</v>
      </c>
      <c r="B69" s="0" t="s">
        <v>3698</v>
      </c>
      <c r="C69" s="0" t="s">
        <v>3699</v>
      </c>
      <c r="D69" s="0" t="s">
        <v>3723</v>
      </c>
      <c r="E69" s="0" t="s">
        <v>3724</v>
      </c>
      <c r="F69" s="0" t="s">
        <v>3584</v>
      </c>
      <c r="G69" s="0" t="s">
        <v>2312</v>
      </c>
    </row>
    <row customHeight="1" ht="11.25">
      <c r="A70" s="0" t="s">
        <v>16</v>
      </c>
      <c r="B70" s="0" t="s">
        <v>3698</v>
      </c>
      <c r="C70" s="0" t="s">
        <v>3699</v>
      </c>
      <c r="D70" s="0" t="s">
        <v>3725</v>
      </c>
      <c r="E70" s="0" t="s">
        <v>3726</v>
      </c>
      <c r="F70" s="0" t="s">
        <v>3584</v>
      </c>
      <c r="G70" s="0" t="s">
        <v>3727</v>
      </c>
    </row>
    <row customHeight="1" ht="11.25">
      <c r="A71" s="0" t="s">
        <v>16</v>
      </c>
      <c r="B71" s="0" t="s">
        <v>3698</v>
      </c>
      <c r="C71" s="0" t="s">
        <v>3699</v>
      </c>
      <c r="D71" s="0" t="s">
        <v>3728</v>
      </c>
      <c r="E71" s="0" t="s">
        <v>3729</v>
      </c>
      <c r="F71" s="0" t="s">
        <v>3584</v>
      </c>
      <c r="G71" s="0" t="s">
        <v>3730</v>
      </c>
    </row>
    <row customHeight="1" ht="11.25">
      <c r="A72" s="0" t="s">
        <v>16</v>
      </c>
      <c r="B72" s="0" t="s">
        <v>3698</v>
      </c>
      <c r="C72" s="0" t="s">
        <v>3699</v>
      </c>
      <c r="D72" s="0" t="s">
        <v>3731</v>
      </c>
      <c r="E72" s="0" t="s">
        <v>3732</v>
      </c>
      <c r="F72" s="0" t="s">
        <v>3584</v>
      </c>
      <c r="G72" s="0" t="s">
        <v>3733</v>
      </c>
    </row>
    <row customHeight="1" ht="11.25">
      <c r="A73" s="0" t="s">
        <v>16</v>
      </c>
      <c r="B73" s="0" t="s">
        <v>3698</v>
      </c>
      <c r="C73" s="0" t="s">
        <v>3699</v>
      </c>
      <c r="D73" s="0" t="s">
        <v>3734</v>
      </c>
      <c r="E73" s="0" t="s">
        <v>3735</v>
      </c>
      <c r="F73" s="0" t="s">
        <v>3584</v>
      </c>
      <c r="G73" s="0" t="s">
        <v>3736</v>
      </c>
    </row>
    <row customHeight="1" ht="11.25">
      <c r="A74" s="0" t="s">
        <v>16</v>
      </c>
      <c r="B74" s="0" t="s">
        <v>3698</v>
      </c>
      <c r="C74" s="0" t="s">
        <v>3699</v>
      </c>
      <c r="D74" s="0" t="s">
        <v>3737</v>
      </c>
      <c r="E74" s="0" t="s">
        <v>3738</v>
      </c>
      <c r="F74" s="0" t="s">
        <v>3584</v>
      </c>
      <c r="G74" s="0" t="s">
        <v>3739</v>
      </c>
    </row>
    <row customHeight="1" ht="11.25">
      <c r="A75" s="0" t="s">
        <v>16</v>
      </c>
      <c r="B75" s="0" t="s">
        <v>3698</v>
      </c>
      <c r="C75" s="0" t="s">
        <v>3699</v>
      </c>
      <c r="D75" s="0" t="s">
        <v>3740</v>
      </c>
      <c r="E75" s="0" t="s">
        <v>3741</v>
      </c>
      <c r="F75" s="0" t="s">
        <v>3584</v>
      </c>
      <c r="G75" s="0" t="s">
        <v>3742</v>
      </c>
    </row>
    <row customHeight="1" ht="11.25">
      <c r="A76" s="0" t="s">
        <v>16</v>
      </c>
      <c r="B76" s="0" t="s">
        <v>3743</v>
      </c>
      <c r="C76" s="0" t="s">
        <v>3744</v>
      </c>
      <c r="D76" s="0" t="s">
        <v>3743</v>
      </c>
      <c r="E76" s="0" t="s">
        <v>3744</v>
      </c>
      <c r="F76" s="0" t="s">
        <v>3581</v>
      </c>
      <c r="G76" s="0" t="s">
        <v>3745</v>
      </c>
    </row>
    <row customHeight="1" ht="11.25">
      <c r="A77" s="0" t="s">
        <v>16</v>
      </c>
      <c r="B77" s="0" t="s">
        <v>3743</v>
      </c>
      <c r="C77" s="0" t="s">
        <v>3744</v>
      </c>
      <c r="D77" s="0" t="s">
        <v>3746</v>
      </c>
      <c r="E77" s="0" t="s">
        <v>3747</v>
      </c>
      <c r="F77" s="0" t="s">
        <v>3584</v>
      </c>
      <c r="G77" s="0" t="s">
        <v>3748</v>
      </c>
    </row>
    <row customHeight="1" ht="11.25">
      <c r="A78" s="0" t="s">
        <v>16</v>
      </c>
      <c r="B78" s="0" t="s">
        <v>3743</v>
      </c>
      <c r="C78" s="0" t="s">
        <v>3744</v>
      </c>
      <c r="D78" s="0" t="s">
        <v>3749</v>
      </c>
      <c r="E78" s="0" t="s">
        <v>3750</v>
      </c>
      <c r="F78" s="0" t="s">
        <v>3584</v>
      </c>
      <c r="G78" s="0" t="s">
        <v>3751</v>
      </c>
    </row>
    <row customHeight="1" ht="11.25">
      <c r="A79" s="0" t="s">
        <v>16</v>
      </c>
      <c r="B79" s="0" t="s">
        <v>3743</v>
      </c>
      <c r="C79" s="0" t="s">
        <v>3744</v>
      </c>
      <c r="D79" s="0" t="s">
        <v>3752</v>
      </c>
      <c r="E79" s="0" t="s">
        <v>3753</v>
      </c>
      <c r="F79" s="0" t="s">
        <v>3584</v>
      </c>
      <c r="G79" s="0" t="s">
        <v>3754</v>
      </c>
    </row>
    <row customHeight="1" ht="11.25">
      <c r="A80" s="0" t="s">
        <v>16</v>
      </c>
      <c r="B80" s="0" t="s">
        <v>3743</v>
      </c>
      <c r="C80" s="0" t="s">
        <v>3744</v>
      </c>
      <c r="D80" s="0" t="s">
        <v>3755</v>
      </c>
      <c r="E80" s="0" t="s">
        <v>3756</v>
      </c>
      <c r="F80" s="0" t="s">
        <v>3584</v>
      </c>
      <c r="G80" s="0" t="s">
        <v>3757</v>
      </c>
    </row>
    <row customHeight="1" ht="11.25">
      <c r="A81" s="0" t="s">
        <v>16</v>
      </c>
      <c r="B81" s="0" t="s">
        <v>3743</v>
      </c>
      <c r="C81" s="0" t="s">
        <v>3744</v>
      </c>
      <c r="D81" s="0" t="s">
        <v>3758</v>
      </c>
      <c r="E81" s="0" t="s">
        <v>3759</v>
      </c>
      <c r="F81" s="0" t="s">
        <v>3584</v>
      </c>
      <c r="G81" s="0" t="s">
        <v>3760</v>
      </c>
    </row>
    <row customHeight="1" ht="11.25">
      <c r="A82" s="0" t="s">
        <v>16</v>
      </c>
      <c r="B82" s="0" t="s">
        <v>3743</v>
      </c>
      <c r="C82" s="0" t="s">
        <v>3744</v>
      </c>
      <c r="D82" s="0" t="s">
        <v>3761</v>
      </c>
      <c r="E82" s="0" t="s">
        <v>3762</v>
      </c>
      <c r="F82" s="0" t="s">
        <v>3584</v>
      </c>
      <c r="G82" s="0" t="s">
        <v>3763</v>
      </c>
    </row>
    <row customHeight="1" ht="11.25">
      <c r="A83" s="0" t="s">
        <v>16</v>
      </c>
      <c r="B83" s="0" t="s">
        <v>3743</v>
      </c>
      <c r="C83" s="0" t="s">
        <v>3744</v>
      </c>
      <c r="D83" s="0" t="s">
        <v>3764</v>
      </c>
      <c r="E83" s="0" t="s">
        <v>3765</v>
      </c>
      <c r="F83" s="0" t="s">
        <v>3584</v>
      </c>
      <c r="G83" s="0" t="s">
        <v>3766</v>
      </c>
    </row>
    <row customHeight="1" ht="11.25">
      <c r="A84" s="0" t="s">
        <v>16</v>
      </c>
      <c r="B84" s="0" t="s">
        <v>3767</v>
      </c>
      <c r="C84" s="0" t="s">
        <v>3768</v>
      </c>
      <c r="D84" s="0" t="s">
        <v>3767</v>
      </c>
      <c r="E84" s="0" t="s">
        <v>3768</v>
      </c>
      <c r="F84" s="0" t="s">
        <v>3581</v>
      </c>
      <c r="G84" s="0" t="s">
        <v>3769</v>
      </c>
    </row>
    <row customHeight="1" ht="11.25">
      <c r="A85" s="0" t="s">
        <v>16</v>
      </c>
      <c r="B85" s="0" t="s">
        <v>3767</v>
      </c>
      <c r="C85" s="0" t="s">
        <v>3768</v>
      </c>
      <c r="D85" s="0" t="s">
        <v>3770</v>
      </c>
      <c r="E85" s="0" t="s">
        <v>3771</v>
      </c>
      <c r="F85" s="0" t="s">
        <v>3584</v>
      </c>
      <c r="G85" s="0" t="s">
        <v>3772</v>
      </c>
    </row>
    <row customHeight="1" ht="11.25">
      <c r="A86" s="0" t="s">
        <v>16</v>
      </c>
      <c r="B86" s="0" t="s">
        <v>3767</v>
      </c>
      <c r="C86" s="0" t="s">
        <v>3768</v>
      </c>
      <c r="D86" s="0" t="s">
        <v>3773</v>
      </c>
      <c r="E86" s="0" t="s">
        <v>3774</v>
      </c>
      <c r="F86" s="0" t="s">
        <v>3584</v>
      </c>
      <c r="G86" s="0" t="s">
        <v>3775</v>
      </c>
    </row>
    <row customHeight="1" ht="11.25">
      <c r="A87" s="0" t="s">
        <v>16</v>
      </c>
      <c r="B87" s="0" t="s">
        <v>3767</v>
      </c>
      <c r="C87" s="0" t="s">
        <v>3768</v>
      </c>
      <c r="D87" s="0" t="s">
        <v>3776</v>
      </c>
      <c r="E87" s="0" t="s">
        <v>3777</v>
      </c>
      <c r="F87" s="0" t="s">
        <v>3584</v>
      </c>
      <c r="G87" s="0" t="s">
        <v>3778</v>
      </c>
    </row>
    <row customHeight="1" ht="11.25">
      <c r="A88" s="0" t="s">
        <v>16</v>
      </c>
      <c r="B88" s="0" t="s">
        <v>3767</v>
      </c>
      <c r="C88" s="0" t="s">
        <v>3768</v>
      </c>
      <c r="D88" s="0" t="s">
        <v>3779</v>
      </c>
      <c r="E88" s="0" t="s">
        <v>3780</v>
      </c>
      <c r="F88" s="0" t="s">
        <v>3584</v>
      </c>
      <c r="G88" s="0" t="s">
        <v>3781</v>
      </c>
    </row>
    <row customHeight="1" ht="11.25">
      <c r="A89" s="0" t="s">
        <v>16</v>
      </c>
      <c r="B89" s="0" t="s">
        <v>3767</v>
      </c>
      <c r="C89" s="0" t="s">
        <v>3768</v>
      </c>
      <c r="D89" s="0" t="s">
        <v>3782</v>
      </c>
      <c r="E89" s="0" t="s">
        <v>3783</v>
      </c>
      <c r="F89" s="0" t="s">
        <v>3584</v>
      </c>
      <c r="G89" s="0" t="s">
        <v>3784</v>
      </c>
    </row>
    <row customHeight="1" ht="11.25">
      <c r="A90" s="0" t="s">
        <v>16</v>
      </c>
      <c r="B90" s="0" t="s">
        <v>3767</v>
      </c>
      <c r="C90" s="0" t="s">
        <v>3768</v>
      </c>
      <c r="D90" s="0" t="s">
        <v>3785</v>
      </c>
      <c r="E90" s="0" t="s">
        <v>3786</v>
      </c>
      <c r="F90" s="0" t="s">
        <v>3584</v>
      </c>
      <c r="G90" s="0" t="s">
        <v>3787</v>
      </c>
    </row>
    <row customHeight="1" ht="11.25">
      <c r="A91" s="0" t="s">
        <v>16</v>
      </c>
      <c r="B91" s="0" t="s">
        <v>3767</v>
      </c>
      <c r="C91" s="0" t="s">
        <v>3768</v>
      </c>
      <c r="D91" s="0" t="s">
        <v>3788</v>
      </c>
      <c r="E91" s="0" t="s">
        <v>3789</v>
      </c>
      <c r="F91" s="0" t="s">
        <v>3584</v>
      </c>
      <c r="G91" s="0" t="s">
        <v>3790</v>
      </c>
    </row>
    <row customHeight="1" ht="11.25">
      <c r="A92" s="0" t="s">
        <v>16</v>
      </c>
      <c r="B92" s="0" t="s">
        <v>3767</v>
      </c>
      <c r="C92" s="0" t="s">
        <v>3768</v>
      </c>
      <c r="D92" s="0" t="s">
        <v>3791</v>
      </c>
      <c r="E92" s="0" t="s">
        <v>3792</v>
      </c>
      <c r="F92" s="0" t="s">
        <v>3584</v>
      </c>
      <c r="G92" s="0" t="s">
        <v>3793</v>
      </c>
    </row>
    <row customHeight="1" ht="11.25">
      <c r="A93" s="0" t="s">
        <v>16</v>
      </c>
      <c r="B93" s="0" t="s">
        <v>3794</v>
      </c>
      <c r="C93" s="0" t="s">
        <v>3795</v>
      </c>
      <c r="D93" s="0" t="s">
        <v>3794</v>
      </c>
      <c r="E93" s="0" t="s">
        <v>3795</v>
      </c>
      <c r="F93" s="0" t="s">
        <v>3581</v>
      </c>
      <c r="G93" s="0" t="s">
        <v>3796</v>
      </c>
    </row>
    <row customHeight="1" ht="11.25">
      <c r="A94" s="0" t="s">
        <v>16</v>
      </c>
      <c r="B94" s="0" t="s">
        <v>3794</v>
      </c>
      <c r="C94" s="0" t="s">
        <v>3795</v>
      </c>
      <c r="D94" s="0" t="s">
        <v>3797</v>
      </c>
      <c r="E94" s="0" t="s">
        <v>3798</v>
      </c>
      <c r="F94" s="0" t="s">
        <v>3584</v>
      </c>
      <c r="G94" s="0" t="s">
        <v>3799</v>
      </c>
    </row>
    <row customHeight="1" ht="11.25">
      <c r="A95" s="0" t="s">
        <v>16</v>
      </c>
      <c r="B95" s="0" t="s">
        <v>3794</v>
      </c>
      <c r="C95" s="0" t="s">
        <v>3795</v>
      </c>
      <c r="D95" s="0" t="s">
        <v>3800</v>
      </c>
      <c r="E95" s="0" t="s">
        <v>3801</v>
      </c>
      <c r="F95" s="0" t="s">
        <v>3584</v>
      </c>
      <c r="G95" s="0" t="s">
        <v>3802</v>
      </c>
    </row>
    <row customHeight="1" ht="11.25">
      <c r="A96" s="0" t="s">
        <v>16</v>
      </c>
      <c r="B96" s="0" t="s">
        <v>3794</v>
      </c>
      <c r="C96" s="0" t="s">
        <v>3795</v>
      </c>
      <c r="D96" s="0" t="s">
        <v>3803</v>
      </c>
      <c r="E96" s="0" t="s">
        <v>3804</v>
      </c>
      <c r="F96" s="0" t="s">
        <v>3584</v>
      </c>
      <c r="G96" s="0" t="s">
        <v>3805</v>
      </c>
    </row>
    <row customHeight="1" ht="11.25">
      <c r="A97" s="0" t="s">
        <v>16</v>
      </c>
      <c r="B97" s="0" t="s">
        <v>3794</v>
      </c>
      <c r="C97" s="0" t="s">
        <v>3795</v>
      </c>
      <c r="D97" s="0" t="s">
        <v>3806</v>
      </c>
      <c r="E97" s="0" t="s">
        <v>3807</v>
      </c>
      <c r="F97" s="0" t="s">
        <v>3584</v>
      </c>
      <c r="G97" s="0" t="s">
        <v>3808</v>
      </c>
    </row>
    <row customHeight="1" ht="11.25">
      <c r="A98" s="0" t="s">
        <v>16</v>
      </c>
      <c r="B98" s="0" t="s">
        <v>3794</v>
      </c>
      <c r="C98" s="0" t="s">
        <v>3795</v>
      </c>
      <c r="D98" s="0" t="s">
        <v>3809</v>
      </c>
      <c r="E98" s="0" t="s">
        <v>3810</v>
      </c>
      <c r="F98" s="0" t="s">
        <v>3584</v>
      </c>
      <c r="G98" s="0" t="s">
        <v>3811</v>
      </c>
    </row>
    <row customHeight="1" ht="11.25">
      <c r="A99" s="0" t="s">
        <v>16</v>
      </c>
      <c r="B99" s="0" t="s">
        <v>3794</v>
      </c>
      <c r="C99" s="0" t="s">
        <v>3795</v>
      </c>
      <c r="D99" s="0" t="s">
        <v>3812</v>
      </c>
      <c r="E99" s="0" t="s">
        <v>3813</v>
      </c>
      <c r="F99" s="0" t="s">
        <v>3584</v>
      </c>
      <c r="G99" s="0" t="s">
        <v>3814</v>
      </c>
    </row>
    <row customHeight="1" ht="11.25">
      <c r="A100" s="0" t="s">
        <v>16</v>
      </c>
      <c r="B100" s="0" t="s">
        <v>3815</v>
      </c>
      <c r="C100" s="0" t="s">
        <v>3816</v>
      </c>
      <c r="D100" s="0" t="s">
        <v>3815</v>
      </c>
      <c r="E100" s="0" t="s">
        <v>3816</v>
      </c>
      <c r="F100" s="0" t="s">
        <v>3581</v>
      </c>
      <c r="G100" s="0" t="s">
        <v>3817</v>
      </c>
    </row>
    <row customHeight="1" ht="11.25">
      <c r="A101" s="0" t="s">
        <v>16</v>
      </c>
      <c r="B101" s="0" t="s">
        <v>3815</v>
      </c>
      <c r="C101" s="0" t="s">
        <v>3816</v>
      </c>
      <c r="D101" s="0" t="s">
        <v>3818</v>
      </c>
      <c r="E101" s="0" t="s">
        <v>3819</v>
      </c>
      <c r="F101" s="0" t="s">
        <v>3820</v>
      </c>
      <c r="G101" s="0" t="s">
        <v>3821</v>
      </c>
    </row>
    <row customHeight="1" ht="11.25">
      <c r="A102" s="0" t="s">
        <v>16</v>
      </c>
      <c r="B102" s="0" t="s">
        <v>3815</v>
      </c>
      <c r="C102" s="0" t="s">
        <v>3816</v>
      </c>
      <c r="D102" s="0" t="s">
        <v>3634</v>
      </c>
      <c r="E102" s="0" t="s">
        <v>3822</v>
      </c>
      <c r="F102" s="0" t="s">
        <v>3584</v>
      </c>
      <c r="G102" s="0" t="s">
        <v>3823</v>
      </c>
    </row>
    <row customHeight="1" ht="11.25">
      <c r="A103" s="0" t="s">
        <v>16</v>
      </c>
      <c r="B103" s="0" t="s">
        <v>3815</v>
      </c>
      <c r="C103" s="0" t="s">
        <v>3816</v>
      </c>
      <c r="D103" s="0" t="s">
        <v>3824</v>
      </c>
      <c r="E103" s="0" t="s">
        <v>3825</v>
      </c>
      <c r="F103" s="0" t="s">
        <v>3584</v>
      </c>
      <c r="G103" s="0" t="s">
        <v>3826</v>
      </c>
    </row>
    <row customHeight="1" ht="11.25">
      <c r="A104" s="0" t="s">
        <v>16</v>
      </c>
      <c r="B104" s="0" t="s">
        <v>3815</v>
      </c>
      <c r="C104" s="0" t="s">
        <v>3816</v>
      </c>
      <c r="D104" s="0" t="s">
        <v>3827</v>
      </c>
      <c r="E104" s="0" t="s">
        <v>3828</v>
      </c>
      <c r="F104" s="0" t="s">
        <v>3584</v>
      </c>
      <c r="G104" s="0" t="s">
        <v>3829</v>
      </c>
    </row>
    <row customHeight="1" ht="11.25">
      <c r="A105" s="0" t="s">
        <v>16</v>
      </c>
      <c r="B105" s="0" t="s">
        <v>3815</v>
      </c>
      <c r="C105" s="0" t="s">
        <v>3816</v>
      </c>
      <c r="D105" s="0" t="s">
        <v>3830</v>
      </c>
      <c r="E105" s="0" t="s">
        <v>3831</v>
      </c>
      <c r="F105" s="0" t="s">
        <v>3584</v>
      </c>
      <c r="G105" s="0" t="s">
        <v>3832</v>
      </c>
    </row>
    <row customHeight="1" ht="11.25">
      <c r="A106" s="0" t="s">
        <v>16</v>
      </c>
      <c r="B106" s="0" t="s">
        <v>3815</v>
      </c>
      <c r="C106" s="0" t="s">
        <v>3816</v>
      </c>
      <c r="D106" s="0" t="s">
        <v>3833</v>
      </c>
      <c r="E106" s="0" t="s">
        <v>3834</v>
      </c>
      <c r="F106" s="0" t="s">
        <v>3584</v>
      </c>
      <c r="G106" s="0" t="s">
        <v>3835</v>
      </c>
    </row>
    <row customHeight="1" ht="11.25">
      <c r="A107" s="0" t="s">
        <v>16</v>
      </c>
      <c r="B107" s="0" t="s">
        <v>3815</v>
      </c>
      <c r="C107" s="0" t="s">
        <v>3816</v>
      </c>
      <c r="D107" s="0" t="s">
        <v>3836</v>
      </c>
      <c r="E107" s="0" t="s">
        <v>3837</v>
      </c>
      <c r="F107" s="0" t="s">
        <v>3584</v>
      </c>
      <c r="G107" s="0" t="s">
        <v>3838</v>
      </c>
    </row>
    <row customHeight="1" ht="11.25">
      <c r="A108" s="0" t="s">
        <v>16</v>
      </c>
      <c r="B108" s="0" t="s">
        <v>3815</v>
      </c>
      <c r="C108" s="0" t="s">
        <v>3816</v>
      </c>
      <c r="D108" s="0" t="s">
        <v>3839</v>
      </c>
      <c r="E108" s="0" t="s">
        <v>3840</v>
      </c>
      <c r="F108" s="0" t="s">
        <v>3584</v>
      </c>
      <c r="G108" s="0" t="s">
        <v>3841</v>
      </c>
    </row>
    <row customHeight="1" ht="11.25">
      <c r="A109" s="0" t="s">
        <v>16</v>
      </c>
      <c r="B109" s="0" t="s">
        <v>3815</v>
      </c>
      <c r="C109" s="0" t="s">
        <v>3816</v>
      </c>
      <c r="D109" s="0" t="s">
        <v>3842</v>
      </c>
      <c r="E109" s="0" t="s">
        <v>3843</v>
      </c>
      <c r="F109" s="0" t="s">
        <v>3584</v>
      </c>
      <c r="G109" s="0" t="s">
        <v>3844</v>
      </c>
    </row>
    <row customHeight="1" ht="11.25">
      <c r="A110" s="0" t="s">
        <v>16</v>
      </c>
      <c r="B110" s="0" t="s">
        <v>3815</v>
      </c>
      <c r="C110" s="0" t="s">
        <v>3816</v>
      </c>
      <c r="D110" s="0" t="s">
        <v>3845</v>
      </c>
      <c r="E110" s="0" t="s">
        <v>3846</v>
      </c>
      <c r="F110" s="0" t="s">
        <v>3584</v>
      </c>
      <c r="G110" s="0" t="s">
        <v>3847</v>
      </c>
    </row>
    <row customHeight="1" ht="11.25">
      <c r="A111" s="0" t="s">
        <v>16</v>
      </c>
      <c r="B111" s="0" t="s">
        <v>3815</v>
      </c>
      <c r="C111" s="0" t="s">
        <v>3816</v>
      </c>
      <c r="D111" s="0" t="s">
        <v>3690</v>
      </c>
      <c r="E111" s="0" t="s">
        <v>3848</v>
      </c>
      <c r="F111" s="0" t="s">
        <v>3584</v>
      </c>
      <c r="G111" s="0" t="s">
        <v>3849</v>
      </c>
    </row>
    <row customHeight="1" ht="11.25">
      <c r="A112" s="0" t="s">
        <v>16</v>
      </c>
      <c r="B112" s="0" t="s">
        <v>3815</v>
      </c>
      <c r="C112" s="0" t="s">
        <v>3816</v>
      </c>
      <c r="D112" s="0" t="s">
        <v>3850</v>
      </c>
      <c r="E112" s="0" t="s">
        <v>3851</v>
      </c>
      <c r="F112" s="0" t="s">
        <v>3584</v>
      </c>
      <c r="G112" s="0" t="s">
        <v>689</v>
      </c>
    </row>
    <row customHeight="1" ht="11.25">
      <c r="A113" s="0" t="s">
        <v>16</v>
      </c>
      <c r="B113" s="0" t="s">
        <v>3815</v>
      </c>
      <c r="C113" s="0" t="s">
        <v>3816</v>
      </c>
      <c r="D113" s="0" t="s">
        <v>3852</v>
      </c>
      <c r="E113" s="0" t="s">
        <v>3853</v>
      </c>
      <c r="F113" s="0" t="s">
        <v>3584</v>
      </c>
      <c r="G113" s="0" t="s">
        <v>3854</v>
      </c>
    </row>
    <row customHeight="1" ht="11.25">
      <c r="A114" s="0" t="s">
        <v>16</v>
      </c>
      <c r="B114" s="0" t="s">
        <v>3815</v>
      </c>
      <c r="C114" s="0" t="s">
        <v>3816</v>
      </c>
      <c r="D114" s="0" t="s">
        <v>3855</v>
      </c>
      <c r="E114" s="0" t="s">
        <v>3856</v>
      </c>
      <c r="F114" s="0" t="s">
        <v>3584</v>
      </c>
      <c r="G114" s="0" t="s">
        <v>3857</v>
      </c>
    </row>
    <row customHeight="1" ht="11.25">
      <c r="A115" s="0" t="s">
        <v>16</v>
      </c>
      <c r="B115" s="0" t="s">
        <v>3858</v>
      </c>
      <c r="C115" s="0" t="s">
        <v>3859</v>
      </c>
      <c r="D115" s="0" t="s">
        <v>3858</v>
      </c>
      <c r="E115" s="0" t="s">
        <v>3859</v>
      </c>
      <c r="F115" s="0" t="s">
        <v>3581</v>
      </c>
      <c r="G115" s="0" t="s">
        <v>3860</v>
      </c>
    </row>
    <row customHeight="1" ht="11.25">
      <c r="A116" s="0" t="s">
        <v>16</v>
      </c>
      <c r="B116" s="0" t="s">
        <v>3858</v>
      </c>
      <c r="C116" s="0" t="s">
        <v>3859</v>
      </c>
      <c r="D116" s="0" t="s">
        <v>3861</v>
      </c>
      <c r="E116" s="0" t="s">
        <v>3862</v>
      </c>
      <c r="F116" s="0" t="s">
        <v>3584</v>
      </c>
      <c r="G116" s="0" t="s">
        <v>3863</v>
      </c>
    </row>
    <row customHeight="1" ht="11.25">
      <c r="A117" s="0" t="s">
        <v>16</v>
      </c>
      <c r="B117" s="0" t="s">
        <v>3858</v>
      </c>
      <c r="C117" s="0" t="s">
        <v>3859</v>
      </c>
      <c r="D117" s="0" t="s">
        <v>3864</v>
      </c>
      <c r="E117" s="0" t="s">
        <v>3865</v>
      </c>
      <c r="F117" s="0" t="s">
        <v>3584</v>
      </c>
      <c r="G117" s="0" t="s">
        <v>3866</v>
      </c>
    </row>
    <row customHeight="1" ht="11.25">
      <c r="A118" s="0" t="s">
        <v>16</v>
      </c>
      <c r="B118" s="0" t="s">
        <v>3858</v>
      </c>
      <c r="C118" s="0" t="s">
        <v>3859</v>
      </c>
      <c r="D118" s="0" t="s">
        <v>3867</v>
      </c>
      <c r="E118" s="0" t="s">
        <v>3868</v>
      </c>
      <c r="F118" s="0" t="s">
        <v>3584</v>
      </c>
      <c r="G118" s="0" t="s">
        <v>3869</v>
      </c>
    </row>
    <row customHeight="1" ht="11.25">
      <c r="A119" s="0" t="s">
        <v>16</v>
      </c>
      <c r="B119" s="0" t="s">
        <v>3858</v>
      </c>
      <c r="C119" s="0" t="s">
        <v>3859</v>
      </c>
      <c r="D119" s="0" t="s">
        <v>3870</v>
      </c>
      <c r="E119" s="0" t="s">
        <v>3871</v>
      </c>
      <c r="F119" s="0" t="s">
        <v>3584</v>
      </c>
      <c r="G119" s="0" t="s">
        <v>3872</v>
      </c>
    </row>
    <row customHeight="1" ht="11.25">
      <c r="A120" s="0" t="s">
        <v>16</v>
      </c>
      <c r="B120" s="0" t="s">
        <v>3858</v>
      </c>
      <c r="C120" s="0" t="s">
        <v>3859</v>
      </c>
      <c r="D120" s="0" t="s">
        <v>3873</v>
      </c>
      <c r="E120" s="0" t="s">
        <v>3874</v>
      </c>
      <c r="F120" s="0" t="s">
        <v>3584</v>
      </c>
      <c r="G120" s="0" t="s">
        <v>3875</v>
      </c>
    </row>
    <row customHeight="1" ht="11.25">
      <c r="A121" s="0" t="s">
        <v>16</v>
      </c>
      <c r="B121" s="0" t="s">
        <v>3858</v>
      </c>
      <c r="C121" s="0" t="s">
        <v>3859</v>
      </c>
      <c r="D121" s="0" t="s">
        <v>3876</v>
      </c>
      <c r="E121" s="0" t="s">
        <v>3877</v>
      </c>
      <c r="F121" s="0" t="s">
        <v>3584</v>
      </c>
      <c r="G121" s="0" t="s">
        <v>3878</v>
      </c>
    </row>
    <row customHeight="1" ht="11.25">
      <c r="A122" s="0" t="s">
        <v>16</v>
      </c>
      <c r="B122" s="0" t="s">
        <v>3858</v>
      </c>
      <c r="C122" s="0" t="s">
        <v>3859</v>
      </c>
      <c r="D122" s="0" t="s">
        <v>3879</v>
      </c>
      <c r="E122" s="0" t="s">
        <v>3880</v>
      </c>
      <c r="F122" s="0" t="s">
        <v>3584</v>
      </c>
      <c r="G122" s="0" t="s">
        <v>3881</v>
      </c>
    </row>
    <row customHeight="1" ht="11.25">
      <c r="A123" s="0" t="s">
        <v>16</v>
      </c>
      <c r="B123" s="0" t="s">
        <v>3858</v>
      </c>
      <c r="C123" s="0" t="s">
        <v>3859</v>
      </c>
      <c r="D123" s="0" t="s">
        <v>3882</v>
      </c>
      <c r="E123" s="0" t="s">
        <v>3883</v>
      </c>
      <c r="F123" s="0" t="s">
        <v>3584</v>
      </c>
      <c r="G123" s="0" t="s">
        <v>3884</v>
      </c>
    </row>
    <row customHeight="1" ht="11.25">
      <c r="A124" s="0" t="s">
        <v>16</v>
      </c>
      <c r="B124" s="0" t="s">
        <v>3858</v>
      </c>
      <c r="C124" s="0" t="s">
        <v>3859</v>
      </c>
      <c r="D124" s="0" t="s">
        <v>3885</v>
      </c>
      <c r="E124" s="0" t="s">
        <v>3886</v>
      </c>
      <c r="F124" s="0" t="s">
        <v>3584</v>
      </c>
      <c r="G124" s="0" t="s">
        <v>3887</v>
      </c>
    </row>
    <row customHeight="1" ht="11.25">
      <c r="A125" s="0" t="s">
        <v>16</v>
      </c>
      <c r="B125" s="0" t="s">
        <v>3858</v>
      </c>
      <c r="C125" s="0" t="s">
        <v>3859</v>
      </c>
      <c r="D125" s="0" t="s">
        <v>3888</v>
      </c>
      <c r="E125" s="0" t="s">
        <v>3889</v>
      </c>
      <c r="F125" s="0" t="s">
        <v>3584</v>
      </c>
      <c r="G125" s="0" t="s">
        <v>3890</v>
      </c>
    </row>
    <row customHeight="1" ht="11.25">
      <c r="A126" s="0" t="s">
        <v>16</v>
      </c>
      <c r="B126" s="0" t="s">
        <v>3858</v>
      </c>
      <c r="C126" s="0" t="s">
        <v>3859</v>
      </c>
      <c r="D126" s="0" t="s">
        <v>3891</v>
      </c>
      <c r="E126" s="0" t="s">
        <v>3892</v>
      </c>
      <c r="F126" s="0" t="s">
        <v>3584</v>
      </c>
      <c r="G126" s="0" t="s">
        <v>3893</v>
      </c>
    </row>
    <row customHeight="1" ht="11.25">
      <c r="A127" s="0" t="s">
        <v>16</v>
      </c>
      <c r="B127" s="0" t="s">
        <v>3858</v>
      </c>
      <c r="C127" s="0" t="s">
        <v>3859</v>
      </c>
      <c r="D127" s="0" t="s">
        <v>3894</v>
      </c>
      <c r="E127" s="0" t="s">
        <v>3895</v>
      </c>
      <c r="F127" s="0" t="s">
        <v>3584</v>
      </c>
      <c r="G127" s="0" t="s">
        <v>3896</v>
      </c>
    </row>
    <row customHeight="1" ht="11.25">
      <c r="A128" s="0" t="s">
        <v>16</v>
      </c>
      <c r="B128" s="0" t="s">
        <v>3897</v>
      </c>
      <c r="C128" s="0" t="s">
        <v>3898</v>
      </c>
      <c r="D128" s="0" t="s">
        <v>3897</v>
      </c>
      <c r="E128" s="0" t="s">
        <v>3898</v>
      </c>
      <c r="F128" s="0" t="s">
        <v>3581</v>
      </c>
      <c r="G128" s="0" t="s">
        <v>3899</v>
      </c>
    </row>
    <row customHeight="1" ht="11.25">
      <c r="A129" s="0" t="s">
        <v>16</v>
      </c>
      <c r="B129" s="0" t="s">
        <v>3897</v>
      </c>
      <c r="C129" s="0" t="s">
        <v>3898</v>
      </c>
      <c r="D129" s="0" t="s">
        <v>3900</v>
      </c>
      <c r="E129" s="0" t="s">
        <v>3901</v>
      </c>
      <c r="F129" s="0" t="s">
        <v>3584</v>
      </c>
      <c r="G129" s="0" t="s">
        <v>3902</v>
      </c>
    </row>
    <row customHeight="1" ht="11.25">
      <c r="A130" s="0" t="s">
        <v>16</v>
      </c>
      <c r="B130" s="0" t="s">
        <v>3897</v>
      </c>
      <c r="C130" s="0" t="s">
        <v>3898</v>
      </c>
      <c r="D130" s="0" t="s">
        <v>3903</v>
      </c>
      <c r="E130" s="0" t="s">
        <v>3904</v>
      </c>
      <c r="F130" s="0" t="s">
        <v>3584</v>
      </c>
      <c r="G130" s="0" t="s">
        <v>3905</v>
      </c>
    </row>
    <row customHeight="1" ht="11.25">
      <c r="A131" s="0" t="s">
        <v>16</v>
      </c>
      <c r="B131" s="0" t="s">
        <v>3897</v>
      </c>
      <c r="C131" s="0" t="s">
        <v>3898</v>
      </c>
      <c r="D131" s="0" t="s">
        <v>3906</v>
      </c>
      <c r="E131" s="0" t="s">
        <v>3907</v>
      </c>
      <c r="F131" s="0" t="s">
        <v>3584</v>
      </c>
      <c r="G131" s="0" t="s">
        <v>3908</v>
      </c>
    </row>
    <row customHeight="1" ht="11.25">
      <c r="A132" s="0" t="s">
        <v>16</v>
      </c>
      <c r="B132" s="0" t="s">
        <v>3897</v>
      </c>
      <c r="C132" s="0" t="s">
        <v>3898</v>
      </c>
      <c r="D132" s="0" t="s">
        <v>3909</v>
      </c>
      <c r="E132" s="0" t="s">
        <v>3910</v>
      </c>
      <c r="F132" s="0" t="s">
        <v>3584</v>
      </c>
      <c r="G132" s="0" t="s">
        <v>3911</v>
      </c>
    </row>
    <row customHeight="1" ht="11.25">
      <c r="A133" s="0" t="s">
        <v>16</v>
      </c>
      <c r="B133" s="0" t="s">
        <v>3897</v>
      </c>
      <c r="C133" s="0" t="s">
        <v>3898</v>
      </c>
      <c r="D133" s="0" t="s">
        <v>3912</v>
      </c>
      <c r="E133" s="0" t="s">
        <v>3913</v>
      </c>
      <c r="F133" s="0" t="s">
        <v>3584</v>
      </c>
      <c r="G133" s="0" t="s">
        <v>3914</v>
      </c>
    </row>
    <row customHeight="1" ht="11.25">
      <c r="A134" s="0" t="s">
        <v>16</v>
      </c>
      <c r="B134" s="0" t="s">
        <v>3897</v>
      </c>
      <c r="C134" s="0" t="s">
        <v>3898</v>
      </c>
      <c r="D134" s="0" t="s">
        <v>3915</v>
      </c>
      <c r="E134" s="0" t="s">
        <v>3916</v>
      </c>
      <c r="F134" s="0" t="s">
        <v>3584</v>
      </c>
      <c r="G134" s="0" t="s">
        <v>3917</v>
      </c>
    </row>
    <row customHeight="1" ht="11.25">
      <c r="A135" s="0" t="s">
        <v>16</v>
      </c>
      <c r="B135" s="0" t="s">
        <v>3918</v>
      </c>
      <c r="C135" s="0" t="s">
        <v>3919</v>
      </c>
      <c r="D135" s="0" t="s">
        <v>3918</v>
      </c>
      <c r="E135" s="0" t="s">
        <v>3919</v>
      </c>
      <c r="F135" s="0" t="s">
        <v>3581</v>
      </c>
      <c r="G135" s="0" t="s">
        <v>3920</v>
      </c>
    </row>
    <row customHeight="1" ht="11.25">
      <c r="A136" s="0" t="s">
        <v>16</v>
      </c>
      <c r="B136" s="0" t="s">
        <v>3918</v>
      </c>
      <c r="C136" s="0" t="s">
        <v>3919</v>
      </c>
      <c r="D136" s="0" t="s">
        <v>3921</v>
      </c>
      <c r="E136" s="0" t="s">
        <v>3922</v>
      </c>
      <c r="F136" s="0" t="s">
        <v>3584</v>
      </c>
      <c r="G136" s="0" t="s">
        <v>3923</v>
      </c>
    </row>
    <row customHeight="1" ht="11.25">
      <c r="A137" s="0" t="s">
        <v>16</v>
      </c>
      <c r="B137" s="0" t="s">
        <v>3918</v>
      </c>
      <c r="C137" s="0" t="s">
        <v>3919</v>
      </c>
      <c r="D137" s="0" t="s">
        <v>3924</v>
      </c>
      <c r="E137" s="0" t="s">
        <v>3925</v>
      </c>
      <c r="F137" s="0" t="s">
        <v>3584</v>
      </c>
      <c r="G137" s="0" t="s">
        <v>3926</v>
      </c>
    </row>
    <row customHeight="1" ht="11.25">
      <c r="A138" s="0" t="s">
        <v>16</v>
      </c>
      <c r="B138" s="0" t="s">
        <v>3918</v>
      </c>
      <c r="C138" s="0" t="s">
        <v>3919</v>
      </c>
      <c r="D138" s="0" t="s">
        <v>3927</v>
      </c>
      <c r="E138" s="0" t="s">
        <v>3928</v>
      </c>
      <c r="F138" s="0" t="s">
        <v>3584</v>
      </c>
      <c r="G138" s="0" t="s">
        <v>3929</v>
      </c>
    </row>
    <row customHeight="1" ht="11.25">
      <c r="A139" s="0" t="s">
        <v>16</v>
      </c>
      <c r="B139" s="0" t="s">
        <v>3918</v>
      </c>
      <c r="C139" s="0" t="s">
        <v>3919</v>
      </c>
      <c r="D139" s="0" t="s">
        <v>3930</v>
      </c>
      <c r="E139" s="0" t="s">
        <v>3931</v>
      </c>
      <c r="F139" s="0" t="s">
        <v>3584</v>
      </c>
      <c r="G139" s="0" t="s">
        <v>3932</v>
      </c>
    </row>
    <row customHeight="1" ht="11.25">
      <c r="A140" s="0" t="s">
        <v>16</v>
      </c>
      <c r="B140" s="0" t="s">
        <v>3918</v>
      </c>
      <c r="C140" s="0" t="s">
        <v>3919</v>
      </c>
      <c r="D140" s="0" t="s">
        <v>3933</v>
      </c>
      <c r="E140" s="0" t="s">
        <v>3934</v>
      </c>
      <c r="F140" s="0" t="s">
        <v>3584</v>
      </c>
      <c r="G140" s="0" t="s">
        <v>3935</v>
      </c>
    </row>
    <row customHeight="1" ht="11.25">
      <c r="A141" s="0" t="s">
        <v>16</v>
      </c>
      <c r="B141" s="0" t="s">
        <v>3918</v>
      </c>
      <c r="C141" s="0" t="s">
        <v>3919</v>
      </c>
      <c r="D141" s="0" t="s">
        <v>3936</v>
      </c>
      <c r="E141" s="0" t="s">
        <v>3937</v>
      </c>
      <c r="F141" s="0" t="s">
        <v>3584</v>
      </c>
      <c r="G141" s="0" t="s">
        <v>3938</v>
      </c>
    </row>
    <row customHeight="1" ht="11.25">
      <c r="A142" s="0" t="s">
        <v>16</v>
      </c>
      <c r="B142" s="0" t="s">
        <v>3918</v>
      </c>
      <c r="C142" s="0" t="s">
        <v>3919</v>
      </c>
      <c r="D142" s="0" t="s">
        <v>3939</v>
      </c>
      <c r="E142" s="0" t="s">
        <v>3940</v>
      </c>
      <c r="F142" s="0" t="s">
        <v>3584</v>
      </c>
      <c r="G142" s="0" t="s">
        <v>3941</v>
      </c>
    </row>
    <row customHeight="1" ht="11.25">
      <c r="A143" s="0" t="s">
        <v>16</v>
      </c>
      <c r="B143" s="0" t="s">
        <v>3918</v>
      </c>
      <c r="C143" s="0" t="s">
        <v>3919</v>
      </c>
      <c r="D143" s="0" t="s">
        <v>3942</v>
      </c>
      <c r="E143" s="0" t="s">
        <v>3943</v>
      </c>
      <c r="F143" s="0" t="s">
        <v>3584</v>
      </c>
      <c r="G143" s="0" t="s">
        <v>3944</v>
      </c>
    </row>
    <row customHeight="1" ht="11.25">
      <c r="A144" s="0" t="s">
        <v>16</v>
      </c>
      <c r="B144" s="0" t="s">
        <v>3918</v>
      </c>
      <c r="C144" s="0" t="s">
        <v>3919</v>
      </c>
      <c r="D144" s="0" t="s">
        <v>3945</v>
      </c>
      <c r="E144" s="0" t="s">
        <v>3946</v>
      </c>
      <c r="F144" s="0" t="s">
        <v>3584</v>
      </c>
      <c r="G144" s="0" t="s">
        <v>3947</v>
      </c>
    </row>
    <row customHeight="1" ht="11.25">
      <c r="A145" s="0" t="s">
        <v>16</v>
      </c>
      <c r="B145" s="0" t="s">
        <v>3918</v>
      </c>
      <c r="C145" s="0" t="s">
        <v>3919</v>
      </c>
      <c r="D145" s="0" t="s">
        <v>3948</v>
      </c>
      <c r="E145" s="0" t="s">
        <v>3949</v>
      </c>
      <c r="F145" s="0" t="s">
        <v>3584</v>
      </c>
      <c r="G145" s="0" t="s">
        <v>3950</v>
      </c>
    </row>
    <row customHeight="1" ht="11.25">
      <c r="A146" s="0" t="s">
        <v>16</v>
      </c>
      <c r="B146" s="0" t="s">
        <v>3918</v>
      </c>
      <c r="C146" s="0" t="s">
        <v>3919</v>
      </c>
      <c r="D146" s="0" t="s">
        <v>3951</v>
      </c>
      <c r="E146" s="0" t="s">
        <v>3952</v>
      </c>
      <c r="F146" s="0" t="s">
        <v>3584</v>
      </c>
      <c r="G146" s="0" t="s">
        <v>3953</v>
      </c>
    </row>
    <row customHeight="1" ht="11.25">
      <c r="A147" s="0" t="s">
        <v>16</v>
      </c>
      <c r="B147" s="0" t="s">
        <v>3918</v>
      </c>
      <c r="C147" s="0" t="s">
        <v>3919</v>
      </c>
      <c r="D147" s="0" t="s">
        <v>3954</v>
      </c>
      <c r="E147" s="0" t="s">
        <v>3955</v>
      </c>
      <c r="F147" s="0" t="s">
        <v>3584</v>
      </c>
      <c r="G147" s="0" t="s">
        <v>3956</v>
      </c>
    </row>
    <row customHeight="1" ht="11.25">
      <c r="A148" s="0" t="s">
        <v>16</v>
      </c>
      <c r="B148" s="0" t="s">
        <v>3918</v>
      </c>
      <c r="C148" s="0" t="s">
        <v>3919</v>
      </c>
      <c r="D148" s="0" t="s">
        <v>3957</v>
      </c>
      <c r="E148" s="0" t="s">
        <v>3958</v>
      </c>
      <c r="F148" s="0" t="s">
        <v>3584</v>
      </c>
      <c r="G148" s="0" t="s">
        <v>3959</v>
      </c>
    </row>
    <row customHeight="1" ht="11.25">
      <c r="A149" s="0" t="s">
        <v>16</v>
      </c>
      <c r="B149" s="0" t="s">
        <v>3960</v>
      </c>
      <c r="C149" s="0" t="s">
        <v>3961</v>
      </c>
      <c r="D149" s="0" t="s">
        <v>3960</v>
      </c>
      <c r="E149" s="0" t="s">
        <v>3961</v>
      </c>
      <c r="F149" s="0" t="s">
        <v>3581</v>
      </c>
      <c r="G149" s="0" t="s">
        <v>3962</v>
      </c>
    </row>
    <row customHeight="1" ht="11.25">
      <c r="A150" s="0" t="s">
        <v>16</v>
      </c>
      <c r="B150" s="0" t="s">
        <v>3960</v>
      </c>
      <c r="C150" s="0" t="s">
        <v>3961</v>
      </c>
      <c r="D150" s="0" t="s">
        <v>3963</v>
      </c>
      <c r="E150" s="0" t="s">
        <v>3964</v>
      </c>
      <c r="F150" s="0" t="s">
        <v>3584</v>
      </c>
      <c r="G150" s="0" t="s">
        <v>3965</v>
      </c>
    </row>
    <row customHeight="1" ht="11.25">
      <c r="A151" s="0" t="s">
        <v>16</v>
      </c>
      <c r="B151" s="0" t="s">
        <v>3960</v>
      </c>
      <c r="C151" s="0" t="s">
        <v>3961</v>
      </c>
      <c r="D151" s="0" t="s">
        <v>3966</v>
      </c>
      <c r="E151" s="0" t="s">
        <v>3967</v>
      </c>
      <c r="F151" s="0" t="s">
        <v>3584</v>
      </c>
      <c r="G151" s="0" t="s">
        <v>3968</v>
      </c>
    </row>
    <row customHeight="1" ht="11.25">
      <c r="A152" s="0" t="s">
        <v>16</v>
      </c>
      <c r="B152" s="0" t="s">
        <v>3960</v>
      </c>
      <c r="C152" s="0" t="s">
        <v>3961</v>
      </c>
      <c r="D152" s="0" t="s">
        <v>3969</v>
      </c>
      <c r="E152" s="0" t="s">
        <v>3970</v>
      </c>
      <c r="F152" s="0" t="s">
        <v>3584</v>
      </c>
      <c r="G152" s="0" t="s">
        <v>3971</v>
      </c>
    </row>
    <row customHeight="1" ht="11.25">
      <c r="A153" s="0" t="s">
        <v>16</v>
      </c>
      <c r="B153" s="0" t="s">
        <v>3960</v>
      </c>
      <c r="C153" s="0" t="s">
        <v>3961</v>
      </c>
      <c r="D153" s="0" t="s">
        <v>3972</v>
      </c>
      <c r="E153" s="0" t="s">
        <v>3973</v>
      </c>
      <c r="F153" s="0" t="s">
        <v>3584</v>
      </c>
      <c r="G153" s="0" t="s">
        <v>3974</v>
      </c>
    </row>
    <row customHeight="1" ht="11.25">
      <c r="A154" s="0" t="s">
        <v>16</v>
      </c>
      <c r="B154" s="0" t="s">
        <v>3960</v>
      </c>
      <c r="C154" s="0" t="s">
        <v>3961</v>
      </c>
      <c r="D154" s="0" t="s">
        <v>3975</v>
      </c>
      <c r="E154" s="0" t="s">
        <v>3976</v>
      </c>
      <c r="F154" s="0" t="s">
        <v>3584</v>
      </c>
      <c r="G154" s="0" t="s">
        <v>3977</v>
      </c>
    </row>
    <row customHeight="1" ht="11.25">
      <c r="A155" s="0" t="s">
        <v>16</v>
      </c>
      <c r="B155" s="0" t="s">
        <v>3960</v>
      </c>
      <c r="C155" s="0" t="s">
        <v>3961</v>
      </c>
      <c r="D155" s="0" t="s">
        <v>3978</v>
      </c>
      <c r="E155" s="0" t="s">
        <v>3979</v>
      </c>
      <c r="F155" s="0" t="s">
        <v>3584</v>
      </c>
      <c r="G155" s="0" t="s">
        <v>3980</v>
      </c>
    </row>
    <row customHeight="1" ht="11.25">
      <c r="A156" s="0" t="s">
        <v>16</v>
      </c>
      <c r="B156" s="0" t="s">
        <v>3960</v>
      </c>
      <c r="C156" s="0" t="s">
        <v>3961</v>
      </c>
      <c r="D156" s="0" t="s">
        <v>3981</v>
      </c>
      <c r="E156" s="0" t="s">
        <v>3982</v>
      </c>
      <c r="F156" s="0" t="s">
        <v>3584</v>
      </c>
      <c r="G156" s="0" t="s">
        <v>3983</v>
      </c>
    </row>
    <row customHeight="1" ht="11.25">
      <c r="A157" s="0" t="s">
        <v>16</v>
      </c>
      <c r="B157" s="0" t="s">
        <v>3960</v>
      </c>
      <c r="C157" s="0" t="s">
        <v>3961</v>
      </c>
      <c r="D157" s="0" t="s">
        <v>3984</v>
      </c>
      <c r="E157" s="0" t="s">
        <v>3985</v>
      </c>
      <c r="F157" s="0" t="s">
        <v>3584</v>
      </c>
      <c r="G157" s="0" t="s">
        <v>3986</v>
      </c>
    </row>
    <row customHeight="1" ht="11.25">
      <c r="A158" s="0" t="s">
        <v>16</v>
      </c>
      <c r="B158" s="0" t="s">
        <v>3960</v>
      </c>
      <c r="C158" s="0" t="s">
        <v>3961</v>
      </c>
      <c r="D158" s="0" t="s">
        <v>3987</v>
      </c>
      <c r="E158" s="0" t="s">
        <v>3988</v>
      </c>
      <c r="F158" s="0" t="s">
        <v>3584</v>
      </c>
      <c r="G158" s="0" t="s">
        <v>3989</v>
      </c>
    </row>
    <row customHeight="1" ht="11.25">
      <c r="A159" s="0" t="s">
        <v>16</v>
      </c>
      <c r="B159" s="0" t="s">
        <v>3960</v>
      </c>
      <c r="C159" s="0" t="s">
        <v>3961</v>
      </c>
      <c r="D159" s="0" t="s">
        <v>3990</v>
      </c>
      <c r="E159" s="0" t="s">
        <v>3991</v>
      </c>
      <c r="F159" s="0" t="s">
        <v>3584</v>
      </c>
      <c r="G159" s="0" t="s">
        <v>3992</v>
      </c>
    </row>
    <row customHeight="1" ht="11.25">
      <c r="A160" s="0" t="s">
        <v>16</v>
      </c>
      <c r="B160" s="0" t="s">
        <v>3960</v>
      </c>
      <c r="C160" s="0" t="s">
        <v>3961</v>
      </c>
      <c r="D160" s="0" t="s">
        <v>3993</v>
      </c>
      <c r="E160" s="0" t="s">
        <v>3994</v>
      </c>
      <c r="F160" s="0" t="s">
        <v>3584</v>
      </c>
      <c r="G160" s="0" t="s">
        <v>3995</v>
      </c>
    </row>
    <row customHeight="1" ht="11.25">
      <c r="A161" s="0" t="s">
        <v>16</v>
      </c>
      <c r="B161" s="0" t="s">
        <v>3960</v>
      </c>
      <c r="C161" s="0" t="s">
        <v>3961</v>
      </c>
      <c r="D161" s="0" t="s">
        <v>3996</v>
      </c>
      <c r="E161" s="0" t="s">
        <v>3997</v>
      </c>
      <c r="F161" s="0" t="s">
        <v>3584</v>
      </c>
      <c r="G161" s="0" t="s">
        <v>3998</v>
      </c>
    </row>
    <row customHeight="1" ht="11.25">
      <c r="A162" s="0" t="s">
        <v>16</v>
      </c>
      <c r="B162" s="0" t="s">
        <v>3999</v>
      </c>
      <c r="C162" s="0" t="s">
        <v>4000</v>
      </c>
      <c r="D162" s="0" t="s">
        <v>3999</v>
      </c>
      <c r="E162" s="0" t="s">
        <v>4000</v>
      </c>
      <c r="F162" s="0" t="s">
        <v>3581</v>
      </c>
      <c r="G162" s="0" t="s">
        <v>4001</v>
      </c>
    </row>
    <row customHeight="1" ht="11.25">
      <c r="A163" s="0" t="s">
        <v>16</v>
      </c>
      <c r="B163" s="0" t="s">
        <v>3999</v>
      </c>
      <c r="C163" s="0" t="s">
        <v>4000</v>
      </c>
      <c r="D163" s="0" t="s">
        <v>4002</v>
      </c>
      <c r="E163" s="0" t="s">
        <v>4003</v>
      </c>
      <c r="F163" s="0" t="s">
        <v>3597</v>
      </c>
      <c r="G163" s="0" t="s">
        <v>4004</v>
      </c>
    </row>
    <row customHeight="1" ht="11.25">
      <c r="A164" s="0" t="s">
        <v>16</v>
      </c>
      <c r="B164" s="0" t="s">
        <v>3999</v>
      </c>
      <c r="C164" s="0" t="s">
        <v>4000</v>
      </c>
      <c r="D164" s="0" t="s">
        <v>4005</v>
      </c>
      <c r="E164" s="0" t="s">
        <v>4006</v>
      </c>
      <c r="F164" s="0" t="s">
        <v>3597</v>
      </c>
      <c r="G164" s="0" t="s">
        <v>4007</v>
      </c>
    </row>
    <row customHeight="1" ht="11.25">
      <c r="A165" s="0" t="s">
        <v>16</v>
      </c>
      <c r="B165" s="0" t="s">
        <v>3999</v>
      </c>
      <c r="C165" s="0" t="s">
        <v>4000</v>
      </c>
      <c r="D165" s="0" t="s">
        <v>4008</v>
      </c>
      <c r="E165" s="0" t="s">
        <v>4009</v>
      </c>
      <c r="F165" s="0" t="s">
        <v>3597</v>
      </c>
      <c r="G165" s="0" t="s">
        <v>4010</v>
      </c>
    </row>
    <row customHeight="1" ht="11.25">
      <c r="A166" s="0" t="s">
        <v>16</v>
      </c>
      <c r="B166" s="0" t="s">
        <v>3999</v>
      </c>
      <c r="C166" s="0" t="s">
        <v>4000</v>
      </c>
      <c r="D166" s="0" t="s">
        <v>4011</v>
      </c>
      <c r="E166" s="0" t="s">
        <v>4012</v>
      </c>
      <c r="F166" s="0" t="s">
        <v>3584</v>
      </c>
      <c r="G166" s="0" t="s">
        <v>4013</v>
      </c>
    </row>
    <row customHeight="1" ht="11.25">
      <c r="A167" s="0" t="s">
        <v>16</v>
      </c>
      <c r="B167" s="0" t="s">
        <v>3999</v>
      </c>
      <c r="C167" s="0" t="s">
        <v>4000</v>
      </c>
      <c r="D167" s="0" t="s">
        <v>4014</v>
      </c>
      <c r="E167" s="0" t="s">
        <v>4015</v>
      </c>
      <c r="F167" s="0" t="s">
        <v>3584</v>
      </c>
      <c r="G167" s="0" t="s">
        <v>4016</v>
      </c>
    </row>
    <row customHeight="1" ht="11.25">
      <c r="A168" s="0" t="s">
        <v>16</v>
      </c>
      <c r="B168" s="0" t="s">
        <v>3999</v>
      </c>
      <c r="C168" s="0" t="s">
        <v>4000</v>
      </c>
      <c r="D168" s="0" t="s">
        <v>4017</v>
      </c>
      <c r="E168" s="0" t="s">
        <v>4018</v>
      </c>
      <c r="F168" s="0" t="s">
        <v>3584</v>
      </c>
      <c r="G168" s="0" t="s">
        <v>4019</v>
      </c>
    </row>
    <row customHeight="1" ht="11.25">
      <c r="A169" s="0" t="s">
        <v>16</v>
      </c>
      <c r="B169" s="0" t="s">
        <v>3999</v>
      </c>
      <c r="C169" s="0" t="s">
        <v>4000</v>
      </c>
      <c r="D169" s="0" t="s">
        <v>4020</v>
      </c>
      <c r="E169" s="0" t="s">
        <v>4021</v>
      </c>
      <c r="F169" s="0" t="s">
        <v>3584</v>
      </c>
      <c r="G169" s="0" t="s">
        <v>4022</v>
      </c>
    </row>
    <row customHeight="1" ht="11.25">
      <c r="A170" s="0" t="s">
        <v>16</v>
      </c>
      <c r="B170" s="0" t="s">
        <v>3999</v>
      </c>
      <c r="C170" s="0" t="s">
        <v>4000</v>
      </c>
      <c r="D170" s="0" t="s">
        <v>4023</v>
      </c>
      <c r="E170" s="0" t="s">
        <v>4024</v>
      </c>
      <c r="F170" s="0" t="s">
        <v>3584</v>
      </c>
      <c r="G170" s="0" t="s">
        <v>4025</v>
      </c>
    </row>
    <row customHeight="1" ht="11.25">
      <c r="A171" s="0" t="s">
        <v>16</v>
      </c>
      <c r="B171" s="0" t="s">
        <v>3999</v>
      </c>
      <c r="C171" s="0" t="s">
        <v>4000</v>
      </c>
      <c r="D171" s="0" t="s">
        <v>4026</v>
      </c>
      <c r="E171" s="0" t="s">
        <v>4027</v>
      </c>
      <c r="F171" s="0" t="s">
        <v>3584</v>
      </c>
      <c r="G171" s="0" t="s">
        <v>4028</v>
      </c>
    </row>
    <row customHeight="1" ht="11.25">
      <c r="A172" s="0" t="s">
        <v>16</v>
      </c>
      <c r="B172" s="0" t="s">
        <v>3999</v>
      </c>
      <c r="C172" s="0" t="s">
        <v>4000</v>
      </c>
      <c r="D172" s="0" t="s">
        <v>4029</v>
      </c>
      <c r="E172" s="0" t="s">
        <v>4030</v>
      </c>
      <c r="F172" s="0" t="s">
        <v>3584</v>
      </c>
      <c r="G172" s="0" t="s">
        <v>4031</v>
      </c>
    </row>
    <row customHeight="1" ht="11.25">
      <c r="A173" s="0" t="s">
        <v>16</v>
      </c>
      <c r="B173" s="0" t="s">
        <v>3999</v>
      </c>
      <c r="C173" s="0" t="s">
        <v>4000</v>
      </c>
      <c r="D173" s="0" t="s">
        <v>4032</v>
      </c>
      <c r="E173" s="0" t="s">
        <v>4033</v>
      </c>
      <c r="F173" s="0" t="s">
        <v>3584</v>
      </c>
      <c r="G173" s="0" t="s">
        <v>4034</v>
      </c>
    </row>
    <row customHeight="1" ht="11.25">
      <c r="A174" s="0" t="s">
        <v>16</v>
      </c>
      <c r="B174" s="0" t="s">
        <v>3999</v>
      </c>
      <c r="C174" s="0" t="s">
        <v>4000</v>
      </c>
      <c r="D174" s="0" t="s">
        <v>4035</v>
      </c>
      <c r="E174" s="0" t="s">
        <v>4036</v>
      </c>
      <c r="F174" s="0" t="s">
        <v>3584</v>
      </c>
      <c r="G174" s="0" t="s">
        <v>4037</v>
      </c>
    </row>
    <row customHeight="1" ht="11.25">
      <c r="A175" s="0" t="s">
        <v>16</v>
      </c>
      <c r="B175" s="0" t="s">
        <v>3999</v>
      </c>
      <c r="C175" s="0" t="s">
        <v>4000</v>
      </c>
      <c r="D175" s="0" t="s">
        <v>4038</v>
      </c>
      <c r="E175" s="0" t="s">
        <v>4039</v>
      </c>
      <c r="F175" s="0" t="s">
        <v>3584</v>
      </c>
      <c r="G175" s="0" t="s">
        <v>4040</v>
      </c>
    </row>
    <row customHeight="1" ht="11.25">
      <c r="A176" s="0" t="s">
        <v>16</v>
      </c>
      <c r="B176" s="0" t="s">
        <v>4041</v>
      </c>
      <c r="C176" s="0" t="s">
        <v>4042</v>
      </c>
      <c r="D176" s="0" t="s">
        <v>4041</v>
      </c>
      <c r="E176" s="0" t="s">
        <v>4042</v>
      </c>
      <c r="F176" s="0" t="s">
        <v>3581</v>
      </c>
      <c r="G176" s="0" t="s">
        <v>4043</v>
      </c>
    </row>
    <row customHeight="1" ht="11.25">
      <c r="A177" s="0" t="s">
        <v>16</v>
      </c>
      <c r="B177" s="0" t="s">
        <v>4041</v>
      </c>
      <c r="C177" s="0" t="s">
        <v>4042</v>
      </c>
      <c r="D177" s="0" t="s">
        <v>4044</v>
      </c>
      <c r="E177" s="0" t="s">
        <v>4045</v>
      </c>
      <c r="F177" s="0" t="s">
        <v>4046</v>
      </c>
      <c r="G177" s="0" t="s">
        <v>4047</v>
      </c>
    </row>
    <row customHeight="1" ht="11.25">
      <c r="A178" s="0" t="s">
        <v>16</v>
      </c>
      <c r="B178" s="0" t="s">
        <v>4041</v>
      </c>
      <c r="C178" s="0" t="s">
        <v>4042</v>
      </c>
      <c r="D178" s="0" t="s">
        <v>4048</v>
      </c>
      <c r="E178" s="0" t="s">
        <v>4049</v>
      </c>
      <c r="F178" s="0" t="s">
        <v>3584</v>
      </c>
      <c r="G178" s="0" t="s">
        <v>4050</v>
      </c>
    </row>
    <row customHeight="1" ht="11.25">
      <c r="A179" s="0" t="s">
        <v>16</v>
      </c>
      <c r="B179" s="0" t="s">
        <v>4041</v>
      </c>
      <c r="C179" s="0" t="s">
        <v>4042</v>
      </c>
      <c r="D179" s="0" t="s">
        <v>3867</v>
      </c>
      <c r="E179" s="0" t="s">
        <v>4051</v>
      </c>
      <c r="F179" s="0" t="s">
        <v>3584</v>
      </c>
      <c r="G179" s="0" t="s">
        <v>4052</v>
      </c>
    </row>
    <row customHeight="1" ht="11.25">
      <c r="A180" s="0" t="s">
        <v>16</v>
      </c>
      <c r="B180" s="0" t="s">
        <v>4041</v>
      </c>
      <c r="C180" s="0" t="s">
        <v>4042</v>
      </c>
      <c r="D180" s="0" t="s">
        <v>4053</v>
      </c>
      <c r="E180" s="0" t="s">
        <v>4054</v>
      </c>
      <c r="F180" s="0" t="s">
        <v>3584</v>
      </c>
      <c r="G180" s="0" t="s">
        <v>4055</v>
      </c>
    </row>
    <row customHeight="1" ht="11.25">
      <c r="A181" s="0" t="s">
        <v>16</v>
      </c>
      <c r="B181" s="0" t="s">
        <v>4041</v>
      </c>
      <c r="C181" s="0" t="s">
        <v>4042</v>
      </c>
      <c r="D181" s="0" t="s">
        <v>4056</v>
      </c>
      <c r="E181" s="0" t="s">
        <v>4057</v>
      </c>
      <c r="F181" s="0" t="s">
        <v>3584</v>
      </c>
      <c r="G181" s="0" t="s">
        <v>4058</v>
      </c>
    </row>
    <row customHeight="1" ht="11.25">
      <c r="A182" s="0" t="s">
        <v>16</v>
      </c>
      <c r="B182" s="0" t="s">
        <v>4041</v>
      </c>
      <c r="C182" s="0" t="s">
        <v>4042</v>
      </c>
      <c r="D182" s="0" t="s">
        <v>4059</v>
      </c>
      <c r="E182" s="0" t="s">
        <v>4060</v>
      </c>
      <c r="F182" s="0" t="s">
        <v>3584</v>
      </c>
      <c r="G182" s="0" t="s">
        <v>4061</v>
      </c>
    </row>
    <row customHeight="1" ht="11.25">
      <c r="A183" s="0" t="s">
        <v>16</v>
      </c>
      <c r="B183" s="0" t="s">
        <v>4041</v>
      </c>
      <c r="C183" s="0" t="s">
        <v>4042</v>
      </c>
      <c r="D183" s="0" t="s">
        <v>4062</v>
      </c>
      <c r="E183" s="0" t="s">
        <v>4063</v>
      </c>
      <c r="F183" s="0" t="s">
        <v>3584</v>
      </c>
      <c r="G183" s="0" t="s">
        <v>4064</v>
      </c>
    </row>
    <row customHeight="1" ht="11.25">
      <c r="A184" s="0" t="s">
        <v>16</v>
      </c>
      <c r="B184" s="0" t="s">
        <v>4041</v>
      </c>
      <c r="C184" s="0" t="s">
        <v>4042</v>
      </c>
      <c r="D184" s="0" t="s">
        <v>4065</v>
      </c>
      <c r="E184" s="0" t="s">
        <v>4066</v>
      </c>
      <c r="F184" s="0" t="s">
        <v>3584</v>
      </c>
      <c r="G184" s="0" t="s">
        <v>4067</v>
      </c>
    </row>
    <row customHeight="1" ht="11.25">
      <c r="A185" s="0" t="s">
        <v>16</v>
      </c>
      <c r="B185" s="0" t="s">
        <v>4041</v>
      </c>
      <c r="C185" s="0" t="s">
        <v>4042</v>
      </c>
      <c r="D185" s="0" t="s">
        <v>4068</v>
      </c>
      <c r="E185" s="0" t="s">
        <v>4069</v>
      </c>
      <c r="F185" s="0" t="s">
        <v>3584</v>
      </c>
      <c r="G185" s="0" t="s">
        <v>4070</v>
      </c>
    </row>
    <row customHeight="1" ht="11.25">
      <c r="A186" s="0" t="s">
        <v>16</v>
      </c>
      <c r="B186" s="0" t="s">
        <v>4071</v>
      </c>
      <c r="C186" s="0" t="s">
        <v>4072</v>
      </c>
      <c r="D186" s="0" t="s">
        <v>4071</v>
      </c>
      <c r="E186" s="0" t="s">
        <v>4072</v>
      </c>
      <c r="F186" s="0" t="s">
        <v>3581</v>
      </c>
      <c r="G186" s="0" t="s">
        <v>4073</v>
      </c>
    </row>
    <row customHeight="1" ht="11.25">
      <c r="A187" s="0" t="s">
        <v>16</v>
      </c>
      <c r="B187" s="0" t="s">
        <v>4071</v>
      </c>
      <c r="C187" s="0" t="s">
        <v>4072</v>
      </c>
      <c r="D187" s="0" t="s">
        <v>4074</v>
      </c>
      <c r="E187" s="0" t="s">
        <v>4075</v>
      </c>
      <c r="F187" s="0" t="s">
        <v>3584</v>
      </c>
      <c r="G187" s="0" t="s">
        <v>4076</v>
      </c>
    </row>
    <row customHeight="1" ht="11.25">
      <c r="A188" s="0" t="s">
        <v>16</v>
      </c>
      <c r="B188" s="0" t="s">
        <v>4071</v>
      </c>
      <c r="C188" s="0" t="s">
        <v>4072</v>
      </c>
      <c r="D188" s="0" t="s">
        <v>4077</v>
      </c>
      <c r="E188" s="0" t="s">
        <v>4078</v>
      </c>
      <c r="F188" s="0" t="s">
        <v>3584</v>
      </c>
      <c r="G188" s="0" t="s">
        <v>4079</v>
      </c>
    </row>
    <row customHeight="1" ht="11.25">
      <c r="A189" s="0" t="s">
        <v>16</v>
      </c>
      <c r="B189" s="0" t="s">
        <v>4071</v>
      </c>
      <c r="C189" s="0" t="s">
        <v>4072</v>
      </c>
      <c r="D189" s="0" t="s">
        <v>4080</v>
      </c>
      <c r="E189" s="0" t="s">
        <v>4081</v>
      </c>
      <c r="F189" s="0" t="s">
        <v>3584</v>
      </c>
      <c r="G189" s="0" t="s">
        <v>4082</v>
      </c>
    </row>
    <row customHeight="1" ht="11.25">
      <c r="A190" s="0" t="s">
        <v>16</v>
      </c>
      <c r="B190" s="0" t="s">
        <v>4071</v>
      </c>
      <c r="C190" s="0" t="s">
        <v>4072</v>
      </c>
      <c r="D190" s="0" t="s">
        <v>4083</v>
      </c>
      <c r="E190" s="0" t="s">
        <v>4084</v>
      </c>
      <c r="F190" s="0" t="s">
        <v>3584</v>
      </c>
      <c r="G190" s="0" t="s">
        <v>4085</v>
      </c>
    </row>
    <row customHeight="1" ht="11.25">
      <c r="A191" s="0" t="s">
        <v>16</v>
      </c>
      <c r="B191" s="0" t="s">
        <v>4071</v>
      </c>
      <c r="C191" s="0" t="s">
        <v>4072</v>
      </c>
      <c r="D191" s="0" t="s">
        <v>4086</v>
      </c>
      <c r="E191" s="0" t="s">
        <v>4087</v>
      </c>
      <c r="F191" s="0" t="s">
        <v>3584</v>
      </c>
      <c r="G191" s="0" t="s">
        <v>4088</v>
      </c>
    </row>
    <row customHeight="1" ht="11.25">
      <c r="A192" s="0" t="s">
        <v>16</v>
      </c>
      <c r="B192" s="0" t="s">
        <v>4071</v>
      </c>
      <c r="C192" s="0" t="s">
        <v>4072</v>
      </c>
      <c r="D192" s="0" t="s">
        <v>4089</v>
      </c>
      <c r="E192" s="0" t="s">
        <v>4090</v>
      </c>
      <c r="F192" s="0" t="s">
        <v>3584</v>
      </c>
      <c r="G192" s="0" t="s">
        <v>4091</v>
      </c>
    </row>
    <row customHeight="1" ht="11.25">
      <c r="A193" s="0" t="s">
        <v>16</v>
      </c>
      <c r="B193" s="0" t="s">
        <v>4071</v>
      </c>
      <c r="C193" s="0" t="s">
        <v>4072</v>
      </c>
      <c r="D193" s="0" t="s">
        <v>4092</v>
      </c>
      <c r="E193" s="0" t="s">
        <v>4093</v>
      </c>
      <c r="F193" s="0" t="s">
        <v>3584</v>
      </c>
      <c r="G193" s="0" t="s">
        <v>4094</v>
      </c>
    </row>
    <row customHeight="1" ht="11.25">
      <c r="A194" s="0" t="s">
        <v>16</v>
      </c>
      <c r="B194" s="0" t="s">
        <v>4071</v>
      </c>
      <c r="C194" s="0" t="s">
        <v>4072</v>
      </c>
      <c r="D194" s="0" t="s">
        <v>4095</v>
      </c>
      <c r="E194" s="0" t="s">
        <v>4096</v>
      </c>
      <c r="F194" s="0" t="s">
        <v>3584</v>
      </c>
      <c r="G194" s="0" t="s">
        <v>4097</v>
      </c>
    </row>
    <row customHeight="1" ht="11.25">
      <c r="A195" s="0" t="s">
        <v>16</v>
      </c>
      <c r="B195" s="0" t="s">
        <v>4098</v>
      </c>
      <c r="C195" s="0" t="s">
        <v>4099</v>
      </c>
      <c r="D195" s="0" t="s">
        <v>4098</v>
      </c>
      <c r="E195" s="0" t="s">
        <v>4099</v>
      </c>
      <c r="F195" s="0" t="s">
        <v>3581</v>
      </c>
      <c r="G195" s="0" t="s">
        <v>4100</v>
      </c>
    </row>
    <row customHeight="1" ht="11.25">
      <c r="A196" s="0" t="s">
        <v>16</v>
      </c>
      <c r="B196" s="0" t="s">
        <v>4098</v>
      </c>
      <c r="C196" s="0" t="s">
        <v>4099</v>
      </c>
      <c r="D196" s="0" t="s">
        <v>4101</v>
      </c>
      <c r="E196" s="0" t="s">
        <v>4102</v>
      </c>
      <c r="F196" s="0" t="s">
        <v>3584</v>
      </c>
      <c r="G196" s="0" t="s">
        <v>4103</v>
      </c>
    </row>
    <row customHeight="1" ht="11.25">
      <c r="A197" s="0" t="s">
        <v>16</v>
      </c>
      <c r="B197" s="0" t="s">
        <v>4098</v>
      </c>
      <c r="C197" s="0" t="s">
        <v>4099</v>
      </c>
      <c r="D197" s="0" t="s">
        <v>4104</v>
      </c>
      <c r="E197" s="0" t="s">
        <v>4105</v>
      </c>
      <c r="F197" s="0" t="s">
        <v>3584</v>
      </c>
      <c r="G197" s="0" t="s">
        <v>4106</v>
      </c>
    </row>
    <row customHeight="1" ht="11.25">
      <c r="A198" s="0" t="s">
        <v>16</v>
      </c>
      <c r="B198" s="0" t="s">
        <v>4098</v>
      </c>
      <c r="C198" s="0" t="s">
        <v>4099</v>
      </c>
      <c r="D198" s="0" t="s">
        <v>4107</v>
      </c>
      <c r="E198" s="0" t="s">
        <v>4108</v>
      </c>
      <c r="F198" s="0" t="s">
        <v>3584</v>
      </c>
      <c r="G198" s="0" t="s">
        <v>4109</v>
      </c>
    </row>
    <row customHeight="1" ht="11.25">
      <c r="A199" s="0" t="s">
        <v>16</v>
      </c>
      <c r="B199" s="0" t="s">
        <v>4098</v>
      </c>
      <c r="C199" s="0" t="s">
        <v>4099</v>
      </c>
      <c r="D199" s="0" t="s">
        <v>4110</v>
      </c>
      <c r="E199" s="0" t="s">
        <v>4111</v>
      </c>
      <c r="F199" s="0" t="s">
        <v>3584</v>
      </c>
      <c r="G199" s="0" t="s">
        <v>4112</v>
      </c>
    </row>
    <row customHeight="1" ht="11.25">
      <c r="A200" s="0" t="s">
        <v>16</v>
      </c>
      <c r="B200" s="0" t="s">
        <v>4098</v>
      </c>
      <c r="C200" s="0" t="s">
        <v>4099</v>
      </c>
      <c r="D200" s="0" t="s">
        <v>4113</v>
      </c>
      <c r="E200" s="0" t="s">
        <v>4114</v>
      </c>
      <c r="F200" s="0" t="s">
        <v>3584</v>
      </c>
      <c r="G200" s="0" t="s">
        <v>4115</v>
      </c>
    </row>
    <row customHeight="1" ht="11.25">
      <c r="A201" s="0" t="s">
        <v>16</v>
      </c>
      <c r="B201" s="0" t="s">
        <v>4098</v>
      </c>
      <c r="C201" s="0" t="s">
        <v>4099</v>
      </c>
      <c r="D201" s="0" t="s">
        <v>4116</v>
      </c>
      <c r="E201" s="0" t="s">
        <v>4117</v>
      </c>
      <c r="F201" s="0" t="s">
        <v>3584</v>
      </c>
      <c r="G201" s="0" t="s">
        <v>4118</v>
      </c>
    </row>
    <row customHeight="1" ht="11.25">
      <c r="A202" s="0" t="s">
        <v>16</v>
      </c>
      <c r="B202" s="0" t="s">
        <v>4098</v>
      </c>
      <c r="C202" s="0" t="s">
        <v>4099</v>
      </c>
      <c r="D202" s="0" t="s">
        <v>4119</v>
      </c>
      <c r="E202" s="0" t="s">
        <v>4120</v>
      </c>
      <c r="F202" s="0" t="s">
        <v>3584</v>
      </c>
      <c r="G202" s="0" t="s">
        <v>4121</v>
      </c>
    </row>
    <row customHeight="1" ht="11.25">
      <c r="A203" s="0" t="s">
        <v>16</v>
      </c>
      <c r="B203" s="0" t="s">
        <v>4098</v>
      </c>
      <c r="C203" s="0" t="s">
        <v>4099</v>
      </c>
      <c r="D203" s="0" t="s">
        <v>4122</v>
      </c>
      <c r="E203" s="0" t="s">
        <v>4123</v>
      </c>
      <c r="F203" s="0" t="s">
        <v>3584</v>
      </c>
      <c r="G203" s="0" t="s">
        <v>4124</v>
      </c>
    </row>
    <row customHeight="1" ht="11.25">
      <c r="A204" s="0" t="s">
        <v>16</v>
      </c>
      <c r="B204" s="0" t="s">
        <v>4098</v>
      </c>
      <c r="C204" s="0" t="s">
        <v>4099</v>
      </c>
      <c r="D204" s="0" t="s">
        <v>4125</v>
      </c>
      <c r="E204" s="0" t="s">
        <v>4126</v>
      </c>
      <c r="F204" s="0" t="s">
        <v>3584</v>
      </c>
      <c r="G204" s="0" t="s">
        <v>4127</v>
      </c>
    </row>
    <row customHeight="1" ht="11.25">
      <c r="A205" s="0" t="s">
        <v>16</v>
      </c>
      <c r="B205" s="0" t="s">
        <v>4098</v>
      </c>
      <c r="C205" s="0" t="s">
        <v>4099</v>
      </c>
      <c r="D205" s="0" t="s">
        <v>4128</v>
      </c>
      <c r="E205" s="0" t="s">
        <v>4129</v>
      </c>
      <c r="F205" s="0" t="s">
        <v>3584</v>
      </c>
      <c r="G205" s="0" t="s">
        <v>4130</v>
      </c>
    </row>
    <row customHeight="1" ht="11.25">
      <c r="A206" s="0" t="s">
        <v>16</v>
      </c>
      <c r="B206" s="0" t="s">
        <v>4098</v>
      </c>
      <c r="C206" s="0" t="s">
        <v>4099</v>
      </c>
      <c r="D206" s="0" t="s">
        <v>4131</v>
      </c>
      <c r="E206" s="0" t="s">
        <v>4132</v>
      </c>
      <c r="F206" s="0" t="s">
        <v>3584</v>
      </c>
      <c r="G206" s="0" t="s">
        <v>4133</v>
      </c>
    </row>
    <row customHeight="1" ht="11.25">
      <c r="A207" s="0" t="s">
        <v>16</v>
      </c>
      <c r="B207" s="0" t="s">
        <v>4098</v>
      </c>
      <c r="C207" s="0" t="s">
        <v>4099</v>
      </c>
      <c r="D207" s="0" t="s">
        <v>4134</v>
      </c>
      <c r="E207" s="0" t="s">
        <v>4135</v>
      </c>
      <c r="F207" s="0" t="s">
        <v>3584</v>
      </c>
      <c r="G207" s="0" t="s">
        <v>4136</v>
      </c>
    </row>
    <row customHeight="1" ht="11.25">
      <c r="A208" s="0" t="s">
        <v>16</v>
      </c>
      <c r="B208" s="0" t="s">
        <v>4098</v>
      </c>
      <c r="C208" s="0" t="s">
        <v>4099</v>
      </c>
      <c r="D208" s="0" t="s">
        <v>4137</v>
      </c>
      <c r="E208" s="0" t="s">
        <v>4138</v>
      </c>
      <c r="F208" s="0" t="s">
        <v>3584</v>
      </c>
      <c r="G208" s="0" t="s">
        <v>4139</v>
      </c>
    </row>
    <row customHeight="1" ht="11.25">
      <c r="A209" s="0" t="s">
        <v>16</v>
      </c>
      <c r="B209" s="0" t="s">
        <v>4098</v>
      </c>
      <c r="C209" s="0" t="s">
        <v>4099</v>
      </c>
      <c r="D209" s="0" t="s">
        <v>4140</v>
      </c>
      <c r="E209" s="0" t="s">
        <v>4141</v>
      </c>
      <c r="F209" s="0" t="s">
        <v>3584</v>
      </c>
      <c r="G209" s="0" t="s">
        <v>4142</v>
      </c>
    </row>
    <row customHeight="1" ht="11.25">
      <c r="A210" s="0" t="s">
        <v>16</v>
      </c>
      <c r="B210" s="0" t="s">
        <v>4098</v>
      </c>
      <c r="C210" s="0" t="s">
        <v>4099</v>
      </c>
      <c r="D210" s="0" t="s">
        <v>4143</v>
      </c>
      <c r="E210" s="0" t="s">
        <v>4144</v>
      </c>
      <c r="F210" s="0" t="s">
        <v>3584</v>
      </c>
      <c r="G210" s="0" t="s">
        <v>4145</v>
      </c>
    </row>
    <row customHeight="1" ht="11.25">
      <c r="A211" s="0" t="s">
        <v>16</v>
      </c>
      <c r="B211" s="0" t="s">
        <v>4146</v>
      </c>
      <c r="C211" s="0" t="s">
        <v>4147</v>
      </c>
      <c r="D211" s="0" t="s">
        <v>4146</v>
      </c>
      <c r="E211" s="0" t="s">
        <v>4147</v>
      </c>
      <c r="F211" s="0" t="s">
        <v>3581</v>
      </c>
      <c r="G211" s="0" t="s">
        <v>4148</v>
      </c>
    </row>
    <row customHeight="1" ht="11.25">
      <c r="A212" s="0" t="s">
        <v>16</v>
      </c>
      <c r="B212" s="0" t="s">
        <v>4146</v>
      </c>
      <c r="C212" s="0" t="s">
        <v>4147</v>
      </c>
      <c r="D212" s="0" t="s">
        <v>4149</v>
      </c>
      <c r="E212" s="0" t="s">
        <v>4150</v>
      </c>
      <c r="F212" s="0" t="s">
        <v>3584</v>
      </c>
      <c r="G212" s="0" t="s">
        <v>4151</v>
      </c>
    </row>
    <row customHeight="1" ht="11.25">
      <c r="A213" s="0" t="s">
        <v>16</v>
      </c>
      <c r="B213" s="0" t="s">
        <v>4146</v>
      </c>
      <c r="C213" s="0" t="s">
        <v>4147</v>
      </c>
      <c r="D213" s="0" t="s">
        <v>4152</v>
      </c>
      <c r="E213" s="0" t="s">
        <v>4153</v>
      </c>
      <c r="F213" s="0" t="s">
        <v>3584</v>
      </c>
      <c r="G213" s="0" t="s">
        <v>4154</v>
      </c>
    </row>
    <row customHeight="1" ht="11.25">
      <c r="A214" s="0" t="s">
        <v>16</v>
      </c>
      <c r="B214" s="0" t="s">
        <v>4146</v>
      </c>
      <c r="C214" s="0" t="s">
        <v>4147</v>
      </c>
      <c r="D214" s="0" t="s">
        <v>4155</v>
      </c>
      <c r="E214" s="0" t="s">
        <v>4156</v>
      </c>
      <c r="F214" s="0" t="s">
        <v>3584</v>
      </c>
      <c r="G214" s="0" t="s">
        <v>4157</v>
      </c>
    </row>
    <row customHeight="1" ht="11.25">
      <c r="A215" s="0" t="s">
        <v>16</v>
      </c>
      <c r="B215" s="0" t="s">
        <v>4146</v>
      </c>
      <c r="C215" s="0" t="s">
        <v>4147</v>
      </c>
      <c r="D215" s="0" t="s">
        <v>4158</v>
      </c>
      <c r="E215" s="0" t="s">
        <v>4159</v>
      </c>
      <c r="F215" s="0" t="s">
        <v>3584</v>
      </c>
      <c r="G215" s="0" t="s">
        <v>4160</v>
      </c>
    </row>
    <row customHeight="1" ht="11.25">
      <c r="A216" s="0" t="s">
        <v>16</v>
      </c>
      <c r="B216" s="0" t="s">
        <v>4146</v>
      </c>
      <c r="C216" s="0" t="s">
        <v>4147</v>
      </c>
      <c r="D216" s="0" t="s">
        <v>4161</v>
      </c>
      <c r="E216" s="0" t="s">
        <v>4162</v>
      </c>
      <c r="F216" s="0" t="s">
        <v>3584</v>
      </c>
      <c r="G216" s="0" t="s">
        <v>4163</v>
      </c>
    </row>
    <row customHeight="1" ht="11.25">
      <c r="A217" s="0" t="s">
        <v>16</v>
      </c>
      <c r="B217" s="0" t="s">
        <v>4146</v>
      </c>
      <c r="C217" s="0" t="s">
        <v>4147</v>
      </c>
      <c r="D217" s="0" t="s">
        <v>4164</v>
      </c>
      <c r="E217" s="0" t="s">
        <v>4165</v>
      </c>
      <c r="F217" s="0" t="s">
        <v>3584</v>
      </c>
      <c r="G217" s="0" t="s">
        <v>4166</v>
      </c>
    </row>
    <row customHeight="1" ht="11.25">
      <c r="A218" s="0" t="s">
        <v>16</v>
      </c>
      <c r="B218" s="0" t="s">
        <v>4146</v>
      </c>
      <c r="C218" s="0" t="s">
        <v>4147</v>
      </c>
      <c r="D218" s="0" t="s">
        <v>4167</v>
      </c>
      <c r="E218" s="0" t="s">
        <v>4168</v>
      </c>
      <c r="F218" s="0" t="s">
        <v>3584</v>
      </c>
      <c r="G218" s="0" t="s">
        <v>4169</v>
      </c>
    </row>
    <row customHeight="1" ht="11.25">
      <c r="A219" s="0" t="s">
        <v>16</v>
      </c>
      <c r="B219" s="0" t="s">
        <v>4170</v>
      </c>
      <c r="C219" s="0" t="s">
        <v>4171</v>
      </c>
      <c r="D219" s="0" t="s">
        <v>4170</v>
      </c>
      <c r="E219" s="0" t="s">
        <v>4171</v>
      </c>
      <c r="F219" s="0" t="s">
        <v>3581</v>
      </c>
      <c r="G219" s="0" t="s">
        <v>4172</v>
      </c>
    </row>
    <row customHeight="1" ht="11.25">
      <c r="A220" s="0" t="s">
        <v>16</v>
      </c>
      <c r="B220" s="0" t="s">
        <v>4170</v>
      </c>
      <c r="C220" s="0" t="s">
        <v>4171</v>
      </c>
      <c r="D220" s="0" t="s">
        <v>4173</v>
      </c>
      <c r="E220" s="0" t="s">
        <v>4174</v>
      </c>
      <c r="F220" s="0" t="s">
        <v>3597</v>
      </c>
      <c r="G220" s="0" t="s">
        <v>4175</v>
      </c>
    </row>
    <row customHeight="1" ht="11.25">
      <c r="A221" s="0" t="s">
        <v>16</v>
      </c>
      <c r="B221" s="0" t="s">
        <v>4170</v>
      </c>
      <c r="C221" s="0" t="s">
        <v>4171</v>
      </c>
      <c r="D221" s="0" t="s">
        <v>4176</v>
      </c>
      <c r="E221" s="0" t="s">
        <v>4177</v>
      </c>
      <c r="F221" s="0" t="s">
        <v>3584</v>
      </c>
      <c r="G221" s="0" t="s">
        <v>4178</v>
      </c>
    </row>
    <row customHeight="1" ht="11.25">
      <c r="A222" s="0" t="s">
        <v>16</v>
      </c>
      <c r="B222" s="0" t="s">
        <v>4170</v>
      </c>
      <c r="C222" s="0" t="s">
        <v>4171</v>
      </c>
      <c r="D222" s="0" t="s">
        <v>4179</v>
      </c>
      <c r="E222" s="0" t="s">
        <v>4180</v>
      </c>
      <c r="F222" s="0" t="s">
        <v>3584</v>
      </c>
      <c r="G222" s="0" t="s">
        <v>4181</v>
      </c>
    </row>
    <row customHeight="1" ht="11.25">
      <c r="A223" s="0" t="s">
        <v>16</v>
      </c>
      <c r="B223" s="0" t="s">
        <v>4170</v>
      </c>
      <c r="C223" s="0" t="s">
        <v>4171</v>
      </c>
      <c r="D223" s="0" t="s">
        <v>4182</v>
      </c>
      <c r="E223" s="0" t="s">
        <v>4183</v>
      </c>
      <c r="F223" s="0" t="s">
        <v>3584</v>
      </c>
      <c r="G223" s="0" t="s">
        <v>4184</v>
      </c>
    </row>
    <row customHeight="1" ht="11.25">
      <c r="A224" s="0" t="s">
        <v>16</v>
      </c>
      <c r="B224" s="0" t="s">
        <v>4170</v>
      </c>
      <c r="C224" s="0" t="s">
        <v>4171</v>
      </c>
      <c r="D224" s="0" t="s">
        <v>4185</v>
      </c>
      <c r="E224" s="0" t="s">
        <v>4186</v>
      </c>
      <c r="F224" s="0" t="s">
        <v>3584</v>
      </c>
      <c r="G224" s="0" t="s">
        <v>4187</v>
      </c>
    </row>
    <row customHeight="1" ht="11.25">
      <c r="A225" s="0" t="s">
        <v>16</v>
      </c>
      <c r="B225" s="0" t="s">
        <v>4170</v>
      </c>
      <c r="C225" s="0" t="s">
        <v>4171</v>
      </c>
      <c r="D225" s="0" t="s">
        <v>4188</v>
      </c>
      <c r="E225" s="0" t="s">
        <v>4189</v>
      </c>
      <c r="F225" s="0" t="s">
        <v>3584</v>
      </c>
      <c r="G225" s="0" t="s">
        <v>4190</v>
      </c>
    </row>
    <row customHeight="1" ht="11.25">
      <c r="A226" s="0" t="s">
        <v>16</v>
      </c>
      <c r="B226" s="0" t="s">
        <v>4170</v>
      </c>
      <c r="C226" s="0" t="s">
        <v>4171</v>
      </c>
      <c r="D226" s="0" t="s">
        <v>4191</v>
      </c>
      <c r="E226" s="0" t="s">
        <v>4192</v>
      </c>
      <c r="F226" s="0" t="s">
        <v>3584</v>
      </c>
      <c r="G226" s="0" t="s">
        <v>4193</v>
      </c>
    </row>
    <row customHeight="1" ht="11.25">
      <c r="A227" s="0" t="s">
        <v>16</v>
      </c>
      <c r="B227" s="0" t="s">
        <v>4170</v>
      </c>
      <c r="C227" s="0" t="s">
        <v>4171</v>
      </c>
      <c r="D227" s="0" t="s">
        <v>4194</v>
      </c>
      <c r="E227" s="0" t="s">
        <v>4195</v>
      </c>
      <c r="F227" s="0" t="s">
        <v>3584</v>
      </c>
      <c r="G227" s="0" t="s">
        <v>4196</v>
      </c>
    </row>
    <row customHeight="1" ht="11.25">
      <c r="A228" s="0" t="s">
        <v>16</v>
      </c>
      <c r="B228" s="0" t="s">
        <v>4170</v>
      </c>
      <c r="C228" s="0" t="s">
        <v>4171</v>
      </c>
      <c r="D228" s="0" t="s">
        <v>4197</v>
      </c>
      <c r="E228" s="0" t="s">
        <v>4198</v>
      </c>
      <c r="F228" s="0" t="s">
        <v>3584</v>
      </c>
      <c r="G228" s="0" t="s">
        <v>4199</v>
      </c>
    </row>
    <row customHeight="1" ht="11.25">
      <c r="A229" s="0" t="s">
        <v>16</v>
      </c>
      <c r="B229" s="0" t="s">
        <v>4170</v>
      </c>
      <c r="C229" s="0" t="s">
        <v>4171</v>
      </c>
      <c r="D229" s="0" t="s">
        <v>4200</v>
      </c>
      <c r="E229" s="0" t="s">
        <v>4201</v>
      </c>
      <c r="F229" s="0" t="s">
        <v>3584</v>
      </c>
      <c r="G229" s="0" t="s">
        <v>4202</v>
      </c>
    </row>
    <row customHeight="1" ht="11.25">
      <c r="A230" s="0" t="s">
        <v>16</v>
      </c>
      <c r="B230" s="0" t="s">
        <v>4170</v>
      </c>
      <c r="C230" s="0" t="s">
        <v>4171</v>
      </c>
      <c r="D230" s="0" t="s">
        <v>4203</v>
      </c>
      <c r="E230" s="0" t="s">
        <v>4204</v>
      </c>
      <c r="F230" s="0" t="s">
        <v>3584</v>
      </c>
      <c r="G230" s="0" t="s">
        <v>4205</v>
      </c>
    </row>
    <row customHeight="1" ht="11.25">
      <c r="A231" s="0" t="s">
        <v>16</v>
      </c>
      <c r="B231" s="0" t="s">
        <v>4170</v>
      </c>
      <c r="C231" s="0" t="s">
        <v>4171</v>
      </c>
      <c r="D231" s="0" t="s">
        <v>4206</v>
      </c>
      <c r="E231" s="0" t="s">
        <v>4207</v>
      </c>
      <c r="F231" s="0" t="s">
        <v>3584</v>
      </c>
      <c r="G231" s="0" t="s">
        <v>4208</v>
      </c>
    </row>
    <row customHeight="1" ht="11.25">
      <c r="A232" s="0" t="s">
        <v>16</v>
      </c>
      <c r="B232" s="0" t="s">
        <v>4170</v>
      </c>
      <c r="C232" s="0" t="s">
        <v>4171</v>
      </c>
      <c r="D232" s="0" t="s">
        <v>4209</v>
      </c>
      <c r="E232" s="0" t="s">
        <v>4210</v>
      </c>
      <c r="F232" s="0" t="s">
        <v>3584</v>
      </c>
      <c r="G232" s="0" t="s">
        <v>4211</v>
      </c>
    </row>
    <row customHeight="1" ht="11.25">
      <c r="A233" s="0" t="s">
        <v>16</v>
      </c>
      <c r="B233" s="0" t="s">
        <v>4170</v>
      </c>
      <c r="C233" s="0" t="s">
        <v>4171</v>
      </c>
      <c r="D233" s="0" t="s">
        <v>4212</v>
      </c>
      <c r="E233" s="0" t="s">
        <v>4213</v>
      </c>
      <c r="F233" s="0" t="s">
        <v>3584</v>
      </c>
      <c r="G233" s="0" t="s">
        <v>4214</v>
      </c>
    </row>
    <row customHeight="1" ht="11.25">
      <c r="A234" s="0" t="s">
        <v>16</v>
      </c>
      <c r="B234" s="0" t="s">
        <v>4170</v>
      </c>
      <c r="C234" s="0" t="s">
        <v>4171</v>
      </c>
      <c r="D234" s="0" t="s">
        <v>4215</v>
      </c>
      <c r="E234" s="0" t="s">
        <v>4216</v>
      </c>
      <c r="F234" s="0" t="s">
        <v>3584</v>
      </c>
      <c r="G234" s="0" t="s">
        <v>4217</v>
      </c>
    </row>
    <row customHeight="1" ht="11.25">
      <c r="A235" s="0" t="s">
        <v>16</v>
      </c>
      <c r="B235" s="0" t="s">
        <v>4170</v>
      </c>
      <c r="C235" s="0" t="s">
        <v>4171</v>
      </c>
      <c r="D235" s="0" t="s">
        <v>4218</v>
      </c>
      <c r="E235" s="0" t="s">
        <v>4219</v>
      </c>
      <c r="F235" s="0" t="s">
        <v>3584</v>
      </c>
      <c r="G235" s="0" t="s">
        <v>4220</v>
      </c>
    </row>
    <row customHeight="1" ht="11.25">
      <c r="A236" s="0" t="s">
        <v>16</v>
      </c>
      <c r="B236" s="0" t="s">
        <v>4170</v>
      </c>
      <c r="C236" s="0" t="s">
        <v>4171</v>
      </c>
      <c r="D236" s="0" t="s">
        <v>3855</v>
      </c>
      <c r="E236" s="0" t="s">
        <v>4221</v>
      </c>
      <c r="F236" s="0" t="s">
        <v>3584</v>
      </c>
      <c r="G236" s="0" t="s">
        <v>4222</v>
      </c>
    </row>
    <row customHeight="1" ht="11.25">
      <c r="A237" s="0" t="s">
        <v>16</v>
      </c>
      <c r="B237" s="0" t="s">
        <v>4223</v>
      </c>
      <c r="C237" s="0" t="s">
        <v>4224</v>
      </c>
      <c r="D237" s="0" t="s">
        <v>4223</v>
      </c>
      <c r="E237" s="0" t="s">
        <v>4224</v>
      </c>
      <c r="F237" s="0" t="s">
        <v>3581</v>
      </c>
      <c r="G237" s="0" t="s">
        <v>4225</v>
      </c>
    </row>
    <row customHeight="1" ht="11.25">
      <c r="A238" s="0" t="s">
        <v>16</v>
      </c>
      <c r="B238" s="0" t="s">
        <v>4223</v>
      </c>
      <c r="C238" s="0" t="s">
        <v>4224</v>
      </c>
      <c r="D238" s="0" t="s">
        <v>3634</v>
      </c>
      <c r="E238" s="0" t="s">
        <v>4226</v>
      </c>
      <c r="F238" s="0" t="s">
        <v>3584</v>
      </c>
      <c r="G238" s="0" t="s">
        <v>4227</v>
      </c>
    </row>
    <row customHeight="1" ht="11.25">
      <c r="A239" s="0" t="s">
        <v>16</v>
      </c>
      <c r="B239" s="0" t="s">
        <v>4223</v>
      </c>
      <c r="C239" s="0" t="s">
        <v>4224</v>
      </c>
      <c r="D239" s="0" t="s">
        <v>4228</v>
      </c>
      <c r="E239" s="0" t="s">
        <v>4229</v>
      </c>
      <c r="F239" s="0" t="s">
        <v>3584</v>
      </c>
      <c r="G239" s="0" t="s">
        <v>4230</v>
      </c>
    </row>
    <row customHeight="1" ht="11.25">
      <c r="A240" s="0" t="s">
        <v>16</v>
      </c>
      <c r="B240" s="0" t="s">
        <v>4223</v>
      </c>
      <c r="C240" s="0" t="s">
        <v>4224</v>
      </c>
      <c r="D240" s="0" t="s">
        <v>4231</v>
      </c>
      <c r="E240" s="0" t="s">
        <v>4232</v>
      </c>
      <c r="F240" s="0" t="s">
        <v>3584</v>
      </c>
      <c r="G240" s="0" t="s">
        <v>4233</v>
      </c>
    </row>
    <row customHeight="1" ht="11.25">
      <c r="A241" s="0" t="s">
        <v>16</v>
      </c>
      <c r="B241" s="0" t="s">
        <v>4223</v>
      </c>
      <c r="C241" s="0" t="s">
        <v>4224</v>
      </c>
      <c r="D241" s="0" t="s">
        <v>3600</v>
      </c>
      <c r="E241" s="0" t="s">
        <v>4234</v>
      </c>
      <c r="F241" s="0" t="s">
        <v>3584</v>
      </c>
      <c r="G241" s="0" t="s">
        <v>4235</v>
      </c>
    </row>
    <row customHeight="1" ht="11.25">
      <c r="A242" s="0" t="s">
        <v>16</v>
      </c>
      <c r="B242" s="0" t="s">
        <v>4223</v>
      </c>
      <c r="C242" s="0" t="s">
        <v>4224</v>
      </c>
      <c r="D242" s="0" t="s">
        <v>4236</v>
      </c>
      <c r="E242" s="0" t="s">
        <v>4237</v>
      </c>
      <c r="F242" s="0" t="s">
        <v>3584</v>
      </c>
      <c r="G242" s="0" t="s">
        <v>4238</v>
      </c>
    </row>
    <row customHeight="1" ht="11.25">
      <c r="A243" s="0" t="s">
        <v>16</v>
      </c>
      <c r="B243" s="0" t="s">
        <v>4223</v>
      </c>
      <c r="C243" s="0" t="s">
        <v>4224</v>
      </c>
      <c r="D243" s="0" t="s">
        <v>4239</v>
      </c>
      <c r="E243" s="0" t="s">
        <v>4240</v>
      </c>
      <c r="F243" s="0" t="s">
        <v>3584</v>
      </c>
      <c r="G243" s="0" t="s">
        <v>4241</v>
      </c>
    </row>
    <row customHeight="1" ht="11.25">
      <c r="A244" s="0" t="s">
        <v>16</v>
      </c>
      <c r="B244" s="0" t="s">
        <v>4223</v>
      </c>
      <c r="C244" s="0" t="s">
        <v>4224</v>
      </c>
      <c r="D244" s="0" t="s">
        <v>4242</v>
      </c>
      <c r="E244" s="0" t="s">
        <v>4243</v>
      </c>
      <c r="F244" s="0" t="s">
        <v>3584</v>
      </c>
      <c r="G244" s="0" t="s">
        <v>4244</v>
      </c>
    </row>
    <row customHeight="1" ht="11.25">
      <c r="A245" s="0" t="s">
        <v>16</v>
      </c>
      <c r="B245" s="0" t="s">
        <v>4223</v>
      </c>
      <c r="C245" s="0" t="s">
        <v>4224</v>
      </c>
      <c r="D245" s="0" t="s">
        <v>4245</v>
      </c>
      <c r="E245" s="0" t="s">
        <v>4246</v>
      </c>
      <c r="F245" s="0" t="s">
        <v>3584</v>
      </c>
      <c r="G245" s="0" t="s">
        <v>4247</v>
      </c>
    </row>
    <row customHeight="1" ht="11.25">
      <c r="A246" s="0" t="s">
        <v>16</v>
      </c>
      <c r="B246" s="0" t="s">
        <v>4223</v>
      </c>
      <c r="C246" s="0" t="s">
        <v>4224</v>
      </c>
      <c r="D246" s="0" t="s">
        <v>4248</v>
      </c>
      <c r="E246" s="0" t="s">
        <v>4249</v>
      </c>
      <c r="F246" s="0" t="s">
        <v>3584</v>
      </c>
      <c r="G246" s="0" t="s">
        <v>4250</v>
      </c>
    </row>
    <row customHeight="1" ht="11.25">
      <c r="A247" s="0" t="s">
        <v>16</v>
      </c>
      <c r="B247" s="0" t="s">
        <v>4223</v>
      </c>
      <c r="C247" s="0" t="s">
        <v>4224</v>
      </c>
      <c r="D247" s="0" t="s">
        <v>4251</v>
      </c>
      <c r="E247" s="0" t="s">
        <v>4252</v>
      </c>
      <c r="F247" s="0" t="s">
        <v>3584</v>
      </c>
      <c r="G247" s="0" t="s">
        <v>4253</v>
      </c>
    </row>
    <row customHeight="1" ht="11.25">
      <c r="A248" s="0" t="s">
        <v>16</v>
      </c>
      <c r="B248" s="0" t="s">
        <v>4223</v>
      </c>
      <c r="C248" s="0" t="s">
        <v>4224</v>
      </c>
      <c r="D248" s="0" t="s">
        <v>4254</v>
      </c>
      <c r="E248" s="0" t="s">
        <v>4255</v>
      </c>
      <c r="F248" s="0" t="s">
        <v>3584</v>
      </c>
      <c r="G248" s="0" t="s">
        <v>4256</v>
      </c>
    </row>
    <row customHeight="1" ht="11.25">
      <c r="A249" s="0" t="s">
        <v>16</v>
      </c>
      <c r="B249" s="0" t="s">
        <v>4223</v>
      </c>
      <c r="C249" s="0" t="s">
        <v>4224</v>
      </c>
      <c r="D249" s="0" t="s">
        <v>4257</v>
      </c>
      <c r="E249" s="0" t="s">
        <v>4258</v>
      </c>
      <c r="F249" s="0" t="s">
        <v>3584</v>
      </c>
      <c r="G249" s="0" t="s">
        <v>4259</v>
      </c>
    </row>
    <row customHeight="1" ht="11.25">
      <c r="A250" s="0" t="s">
        <v>16</v>
      </c>
      <c r="B250" s="0" t="s">
        <v>4223</v>
      </c>
      <c r="C250" s="0" t="s">
        <v>4224</v>
      </c>
      <c r="D250" s="0" t="s">
        <v>4260</v>
      </c>
      <c r="E250" s="0" t="s">
        <v>4261</v>
      </c>
      <c r="F250" s="0" t="s">
        <v>3584</v>
      </c>
      <c r="G250" s="0" t="s">
        <v>4262</v>
      </c>
    </row>
    <row customHeight="1" ht="11.25">
      <c r="A251" s="0" t="s">
        <v>16</v>
      </c>
      <c r="B251" s="0" t="s">
        <v>4223</v>
      </c>
      <c r="C251" s="0" t="s">
        <v>4224</v>
      </c>
      <c r="D251" s="0" t="s">
        <v>4263</v>
      </c>
      <c r="E251" s="0" t="s">
        <v>4264</v>
      </c>
      <c r="F251" s="0" t="s">
        <v>3584</v>
      </c>
      <c r="G251" s="0" t="s">
        <v>4265</v>
      </c>
    </row>
    <row customHeight="1" ht="11.25">
      <c r="A252" s="0" t="s">
        <v>16</v>
      </c>
      <c r="B252" s="0" t="s">
        <v>4223</v>
      </c>
      <c r="C252" s="0" t="s">
        <v>4224</v>
      </c>
      <c r="D252" s="0" t="s">
        <v>4266</v>
      </c>
      <c r="E252" s="0" t="s">
        <v>4267</v>
      </c>
      <c r="F252" s="0" t="s">
        <v>3584</v>
      </c>
      <c r="G252" s="0" t="s">
        <v>4268</v>
      </c>
    </row>
    <row customHeight="1" ht="11.25">
      <c r="A253" s="0" t="s">
        <v>16</v>
      </c>
      <c r="B253" s="0" t="s">
        <v>4223</v>
      </c>
      <c r="C253" s="0" t="s">
        <v>4224</v>
      </c>
      <c r="D253" s="0" t="s">
        <v>4269</v>
      </c>
      <c r="E253" s="0" t="s">
        <v>4270</v>
      </c>
      <c r="F253" s="0" t="s">
        <v>3584</v>
      </c>
      <c r="G253" s="0" t="s">
        <v>4271</v>
      </c>
    </row>
    <row customHeight="1" ht="11.25">
      <c r="A254" s="0" t="s">
        <v>16</v>
      </c>
      <c r="B254" s="0" t="s">
        <v>4223</v>
      </c>
      <c r="C254" s="0" t="s">
        <v>4224</v>
      </c>
      <c r="D254" s="0" t="s">
        <v>4272</v>
      </c>
      <c r="E254" s="0" t="s">
        <v>4273</v>
      </c>
      <c r="F254" s="0" t="s">
        <v>3584</v>
      </c>
      <c r="G254" s="0" t="s">
        <v>4274</v>
      </c>
    </row>
    <row customHeight="1" ht="11.25">
      <c r="A255" s="0" t="s">
        <v>16</v>
      </c>
      <c r="B255" s="0" t="s">
        <v>4223</v>
      </c>
      <c r="C255" s="0" t="s">
        <v>4224</v>
      </c>
      <c r="D255" s="0" t="s">
        <v>4275</v>
      </c>
      <c r="E255" s="0" t="s">
        <v>4276</v>
      </c>
      <c r="F255" s="0" t="s">
        <v>3584</v>
      </c>
      <c r="G255" s="0" t="s">
        <v>4277</v>
      </c>
    </row>
    <row customHeight="1" ht="11.25">
      <c r="A256" s="0" t="s">
        <v>16</v>
      </c>
      <c r="B256" s="0" t="s">
        <v>4223</v>
      </c>
      <c r="C256" s="0" t="s">
        <v>4224</v>
      </c>
      <c r="D256" s="0" t="s">
        <v>4278</v>
      </c>
      <c r="E256" s="0" t="s">
        <v>4279</v>
      </c>
      <c r="F256" s="0" t="s">
        <v>3584</v>
      </c>
      <c r="G256" s="0" t="s">
        <v>4280</v>
      </c>
    </row>
    <row customHeight="1" ht="11.25">
      <c r="A257" s="0" t="s">
        <v>16</v>
      </c>
      <c r="B257" s="0" t="s">
        <v>4223</v>
      </c>
      <c r="C257" s="0" t="s">
        <v>4224</v>
      </c>
      <c r="D257" s="0" t="s">
        <v>4281</v>
      </c>
      <c r="E257" s="0" t="s">
        <v>4282</v>
      </c>
      <c r="F257" s="0" t="s">
        <v>3584</v>
      </c>
      <c r="G257" s="0" t="s">
        <v>4283</v>
      </c>
    </row>
    <row customHeight="1" ht="11.25">
      <c r="A258" s="0" t="s">
        <v>16</v>
      </c>
      <c r="B258" s="0" t="s">
        <v>4223</v>
      </c>
      <c r="C258" s="0" t="s">
        <v>4224</v>
      </c>
      <c r="D258" s="0" t="s">
        <v>4284</v>
      </c>
      <c r="E258" s="0" t="s">
        <v>4285</v>
      </c>
      <c r="F258" s="0" t="s">
        <v>3584</v>
      </c>
      <c r="G258" s="0" t="s">
        <v>4286</v>
      </c>
    </row>
    <row customHeight="1" ht="11.25">
      <c r="A259" s="0" t="s">
        <v>16</v>
      </c>
      <c r="B259" s="0" t="s">
        <v>4223</v>
      </c>
      <c r="C259" s="0" t="s">
        <v>4224</v>
      </c>
      <c r="D259" s="0" t="s">
        <v>4287</v>
      </c>
      <c r="E259" s="0" t="s">
        <v>4288</v>
      </c>
      <c r="F259" s="0" t="s">
        <v>3584</v>
      </c>
      <c r="G259" s="0" t="s">
        <v>4289</v>
      </c>
    </row>
    <row customHeight="1" ht="11.25">
      <c r="A260" s="0" t="s">
        <v>16</v>
      </c>
      <c r="B260" s="0" t="s">
        <v>4223</v>
      </c>
      <c r="C260" s="0" t="s">
        <v>4224</v>
      </c>
      <c r="D260" s="0" t="s">
        <v>4290</v>
      </c>
      <c r="E260" s="0" t="s">
        <v>4291</v>
      </c>
      <c r="F260" s="0" t="s">
        <v>3584</v>
      </c>
      <c r="G260" s="0" t="s">
        <v>4292</v>
      </c>
    </row>
    <row customHeight="1" ht="11.25">
      <c r="A261" s="0" t="s">
        <v>16</v>
      </c>
      <c r="B261" s="0" t="s">
        <v>4223</v>
      </c>
      <c r="C261" s="0" t="s">
        <v>4224</v>
      </c>
      <c r="D261" s="0" t="s">
        <v>4293</v>
      </c>
      <c r="E261" s="0" t="s">
        <v>4294</v>
      </c>
      <c r="F261" s="0" t="s">
        <v>3584</v>
      </c>
      <c r="G261" s="0" t="s">
        <v>4295</v>
      </c>
    </row>
    <row customHeight="1" ht="11.25">
      <c r="A262" s="0" t="s">
        <v>16</v>
      </c>
      <c r="B262" s="0" t="s">
        <v>4296</v>
      </c>
      <c r="C262" s="0" t="s">
        <v>4297</v>
      </c>
      <c r="D262" s="0" t="s">
        <v>4296</v>
      </c>
      <c r="E262" s="0" t="s">
        <v>4297</v>
      </c>
      <c r="F262" s="0" t="s">
        <v>3581</v>
      </c>
      <c r="G262" s="0" t="s">
        <v>4298</v>
      </c>
    </row>
    <row customHeight="1" ht="11.25">
      <c r="A263" s="0" t="s">
        <v>16</v>
      </c>
      <c r="B263" s="0" t="s">
        <v>4296</v>
      </c>
      <c r="C263" s="0" t="s">
        <v>4297</v>
      </c>
      <c r="D263" s="0" t="s">
        <v>4299</v>
      </c>
      <c r="E263" s="0" t="s">
        <v>4300</v>
      </c>
      <c r="F263" s="0" t="s">
        <v>3597</v>
      </c>
      <c r="G263" s="0" t="s">
        <v>4301</v>
      </c>
    </row>
    <row customHeight="1" ht="11.25">
      <c r="A264" s="0" t="s">
        <v>16</v>
      </c>
      <c r="B264" s="0" t="s">
        <v>4296</v>
      </c>
      <c r="C264" s="0" t="s">
        <v>4297</v>
      </c>
      <c r="D264" s="0" t="s">
        <v>4302</v>
      </c>
      <c r="E264" s="0" t="s">
        <v>4303</v>
      </c>
      <c r="F264" s="0" t="s">
        <v>3597</v>
      </c>
      <c r="G264" s="0" t="s">
        <v>4304</v>
      </c>
    </row>
    <row customHeight="1" ht="11.25">
      <c r="A265" s="0" t="s">
        <v>16</v>
      </c>
      <c r="B265" s="0" t="s">
        <v>4296</v>
      </c>
      <c r="C265" s="0" t="s">
        <v>4297</v>
      </c>
      <c r="D265" s="0" t="s">
        <v>4305</v>
      </c>
      <c r="E265" s="0" t="s">
        <v>4306</v>
      </c>
      <c r="F265" s="0" t="s">
        <v>3584</v>
      </c>
      <c r="G265" s="0" t="s">
        <v>4307</v>
      </c>
    </row>
    <row customHeight="1" ht="11.25">
      <c r="A266" s="0" t="s">
        <v>16</v>
      </c>
      <c r="B266" s="0" t="s">
        <v>4296</v>
      </c>
      <c r="C266" s="0" t="s">
        <v>4297</v>
      </c>
      <c r="D266" s="0" t="s">
        <v>4308</v>
      </c>
      <c r="E266" s="0" t="s">
        <v>4309</v>
      </c>
      <c r="F266" s="0" t="s">
        <v>3584</v>
      </c>
      <c r="G266" s="0" t="s">
        <v>4310</v>
      </c>
    </row>
    <row customHeight="1" ht="11.25">
      <c r="A267" s="0" t="s">
        <v>16</v>
      </c>
      <c r="B267" s="0" t="s">
        <v>4296</v>
      </c>
      <c r="C267" s="0" t="s">
        <v>4297</v>
      </c>
      <c r="D267" s="0" t="s">
        <v>4311</v>
      </c>
      <c r="E267" s="0" t="s">
        <v>4312</v>
      </c>
      <c r="F267" s="0" t="s">
        <v>3584</v>
      </c>
      <c r="G267" s="0" t="s">
        <v>4313</v>
      </c>
    </row>
    <row customHeight="1" ht="11.25">
      <c r="A268" s="0" t="s">
        <v>16</v>
      </c>
      <c r="B268" s="0" t="s">
        <v>4296</v>
      </c>
      <c r="C268" s="0" t="s">
        <v>4297</v>
      </c>
      <c r="D268" s="0" t="s">
        <v>4314</v>
      </c>
      <c r="E268" s="0" t="s">
        <v>4315</v>
      </c>
      <c r="F268" s="0" t="s">
        <v>3584</v>
      </c>
      <c r="G268" s="0" t="s">
        <v>4316</v>
      </c>
    </row>
    <row customHeight="1" ht="11.25">
      <c r="A269" s="0" t="s">
        <v>16</v>
      </c>
      <c r="B269" s="0" t="s">
        <v>4296</v>
      </c>
      <c r="C269" s="0" t="s">
        <v>4297</v>
      </c>
      <c r="D269" s="0" t="s">
        <v>4317</v>
      </c>
      <c r="E269" s="0" t="s">
        <v>4318</v>
      </c>
      <c r="F269" s="0" t="s">
        <v>3584</v>
      </c>
      <c r="G269" s="0" t="s">
        <v>4319</v>
      </c>
    </row>
    <row customHeight="1" ht="11.25">
      <c r="A270" s="0" t="s">
        <v>16</v>
      </c>
      <c r="B270" s="0" t="s">
        <v>4296</v>
      </c>
      <c r="C270" s="0" t="s">
        <v>4297</v>
      </c>
      <c r="D270" s="0" t="s">
        <v>4320</v>
      </c>
      <c r="E270" s="0" t="s">
        <v>4321</v>
      </c>
      <c r="F270" s="0" t="s">
        <v>3584</v>
      </c>
      <c r="G270" s="0" t="s">
        <v>4322</v>
      </c>
    </row>
    <row customHeight="1" ht="11.25">
      <c r="A271" s="0" t="s">
        <v>16</v>
      </c>
      <c r="B271" s="0" t="s">
        <v>4296</v>
      </c>
      <c r="C271" s="0" t="s">
        <v>4297</v>
      </c>
      <c r="D271" s="0" t="s">
        <v>4323</v>
      </c>
      <c r="E271" s="0" t="s">
        <v>4324</v>
      </c>
      <c r="F271" s="0" t="s">
        <v>3584</v>
      </c>
      <c r="G271" s="0" t="s">
        <v>4325</v>
      </c>
    </row>
    <row customHeight="1" ht="11.25">
      <c r="A272" s="0" t="s">
        <v>16</v>
      </c>
      <c r="B272" s="0" t="s">
        <v>4296</v>
      </c>
      <c r="C272" s="0" t="s">
        <v>4297</v>
      </c>
      <c r="D272" s="0" t="s">
        <v>4326</v>
      </c>
      <c r="E272" s="0" t="s">
        <v>4327</v>
      </c>
      <c r="F272" s="0" t="s">
        <v>3584</v>
      </c>
      <c r="G272" s="0" t="s">
        <v>4328</v>
      </c>
    </row>
    <row customHeight="1" ht="11.25">
      <c r="A273" s="0" t="s">
        <v>16</v>
      </c>
      <c r="B273" s="0" t="s">
        <v>4296</v>
      </c>
      <c r="C273" s="0" t="s">
        <v>4297</v>
      </c>
      <c r="D273" s="0" t="s">
        <v>4329</v>
      </c>
      <c r="E273" s="0" t="s">
        <v>4330</v>
      </c>
      <c r="F273" s="0" t="s">
        <v>3584</v>
      </c>
      <c r="G273" s="0" t="s">
        <v>4331</v>
      </c>
    </row>
    <row customHeight="1" ht="11.25">
      <c r="A274" s="0" t="s">
        <v>16</v>
      </c>
      <c r="B274" s="0" t="s">
        <v>4296</v>
      </c>
      <c r="C274" s="0" t="s">
        <v>4297</v>
      </c>
      <c r="D274" s="0" t="s">
        <v>4332</v>
      </c>
      <c r="E274" s="0" t="s">
        <v>4333</v>
      </c>
      <c r="F274" s="0" t="s">
        <v>3584</v>
      </c>
      <c r="G274" s="0" t="s">
        <v>4334</v>
      </c>
    </row>
    <row customHeight="1" ht="11.25">
      <c r="A275" s="0" t="s">
        <v>16</v>
      </c>
      <c r="B275" s="0" t="s">
        <v>4296</v>
      </c>
      <c r="C275" s="0" t="s">
        <v>4297</v>
      </c>
      <c r="D275" s="0" t="s">
        <v>4335</v>
      </c>
      <c r="E275" s="0" t="s">
        <v>4336</v>
      </c>
      <c r="F275" s="0" t="s">
        <v>3584</v>
      </c>
      <c r="G275" s="0" t="s">
        <v>4337</v>
      </c>
    </row>
    <row customHeight="1" ht="11.25">
      <c r="A276" s="0" t="s">
        <v>16</v>
      </c>
      <c r="B276" s="0" t="s">
        <v>4296</v>
      </c>
      <c r="C276" s="0" t="s">
        <v>4297</v>
      </c>
      <c r="D276" s="0" t="s">
        <v>4338</v>
      </c>
      <c r="E276" s="0" t="s">
        <v>4339</v>
      </c>
      <c r="F276" s="0" t="s">
        <v>3584</v>
      </c>
      <c r="G276" s="0" t="s">
        <v>4340</v>
      </c>
    </row>
    <row customHeight="1" ht="11.25">
      <c r="A277" s="0" t="s">
        <v>16</v>
      </c>
      <c r="B277" s="0" t="s">
        <v>4296</v>
      </c>
      <c r="C277" s="0" t="s">
        <v>4297</v>
      </c>
      <c r="D277" s="0" t="s">
        <v>4341</v>
      </c>
      <c r="E277" s="0" t="s">
        <v>4342</v>
      </c>
      <c r="F277" s="0" t="s">
        <v>3584</v>
      </c>
      <c r="G277" s="0" t="s">
        <v>4343</v>
      </c>
    </row>
    <row customHeight="1" ht="11.25">
      <c r="A278" s="0" t="s">
        <v>16</v>
      </c>
      <c r="B278" s="0" t="s">
        <v>4344</v>
      </c>
      <c r="C278" s="0" t="s">
        <v>4345</v>
      </c>
      <c r="D278" s="0" t="s">
        <v>4344</v>
      </c>
      <c r="E278" s="0" t="s">
        <v>4345</v>
      </c>
      <c r="F278" s="0" t="s">
        <v>3581</v>
      </c>
      <c r="G278" s="0" t="s">
        <v>4346</v>
      </c>
    </row>
    <row customHeight="1" ht="11.25">
      <c r="A279" s="0" t="s">
        <v>16</v>
      </c>
      <c r="B279" s="0" t="s">
        <v>4344</v>
      </c>
      <c r="C279" s="0" t="s">
        <v>4345</v>
      </c>
      <c r="D279" s="0" t="s">
        <v>4347</v>
      </c>
      <c r="E279" s="0" t="s">
        <v>4348</v>
      </c>
      <c r="F279" s="0" t="s">
        <v>3584</v>
      </c>
      <c r="G279" s="0" t="s">
        <v>4349</v>
      </c>
    </row>
    <row customHeight="1" ht="11.25">
      <c r="A280" s="0" t="s">
        <v>16</v>
      </c>
      <c r="B280" s="0" t="s">
        <v>4344</v>
      </c>
      <c r="C280" s="0" t="s">
        <v>4345</v>
      </c>
      <c r="D280" s="0" t="s">
        <v>4350</v>
      </c>
      <c r="E280" s="0" t="s">
        <v>4351</v>
      </c>
      <c r="F280" s="0" t="s">
        <v>3584</v>
      </c>
      <c r="G280" s="0" t="s">
        <v>4352</v>
      </c>
    </row>
    <row customHeight="1" ht="11.25">
      <c r="A281" s="0" t="s">
        <v>16</v>
      </c>
      <c r="B281" s="0" t="s">
        <v>4344</v>
      </c>
      <c r="C281" s="0" t="s">
        <v>4345</v>
      </c>
      <c r="D281" s="0" t="s">
        <v>4206</v>
      </c>
      <c r="E281" s="0" t="s">
        <v>4353</v>
      </c>
      <c r="F281" s="0" t="s">
        <v>3584</v>
      </c>
      <c r="G281" s="0" t="s">
        <v>4354</v>
      </c>
    </row>
    <row customHeight="1" ht="11.25">
      <c r="A282" s="0" t="s">
        <v>16</v>
      </c>
      <c r="B282" s="0" t="s">
        <v>4344</v>
      </c>
      <c r="C282" s="0" t="s">
        <v>4345</v>
      </c>
      <c r="D282" s="0" t="s">
        <v>4355</v>
      </c>
      <c r="E282" s="0" t="s">
        <v>4356</v>
      </c>
      <c r="F282" s="0" t="s">
        <v>3584</v>
      </c>
      <c r="G282" s="0" t="s">
        <v>4357</v>
      </c>
    </row>
    <row customHeight="1" ht="11.25">
      <c r="A283" s="0" t="s">
        <v>16</v>
      </c>
      <c r="B283" s="0" t="s">
        <v>4344</v>
      </c>
      <c r="C283" s="0" t="s">
        <v>4345</v>
      </c>
      <c r="D283" s="0" t="s">
        <v>4358</v>
      </c>
      <c r="E283" s="0" t="s">
        <v>4359</v>
      </c>
      <c r="F283" s="0" t="s">
        <v>3584</v>
      </c>
      <c r="G283" s="0" t="s">
        <v>4360</v>
      </c>
    </row>
    <row customHeight="1" ht="11.25">
      <c r="A284" s="0" t="s">
        <v>16</v>
      </c>
      <c r="B284" s="0" t="s">
        <v>4344</v>
      </c>
      <c r="C284" s="0" t="s">
        <v>4345</v>
      </c>
      <c r="D284" s="0" t="s">
        <v>4361</v>
      </c>
      <c r="E284" s="0" t="s">
        <v>4362</v>
      </c>
      <c r="F284" s="0" t="s">
        <v>3584</v>
      </c>
      <c r="G284" s="0" t="s">
        <v>4363</v>
      </c>
    </row>
    <row customHeight="1" ht="11.25">
      <c r="A285" s="0" t="s">
        <v>16</v>
      </c>
      <c r="B285" s="0" t="s">
        <v>4344</v>
      </c>
      <c r="C285" s="0" t="s">
        <v>4345</v>
      </c>
      <c r="D285" s="0" t="s">
        <v>4364</v>
      </c>
      <c r="E285" s="0" t="s">
        <v>4365</v>
      </c>
      <c r="F285" s="0" t="s">
        <v>3584</v>
      </c>
      <c r="G285" s="0" t="s">
        <v>4366</v>
      </c>
    </row>
    <row customHeight="1" ht="11.25">
      <c r="A286" s="0" t="s">
        <v>16</v>
      </c>
      <c r="B286" s="0" t="s">
        <v>4344</v>
      </c>
      <c r="C286" s="0" t="s">
        <v>4345</v>
      </c>
      <c r="D286" s="0" t="s">
        <v>4367</v>
      </c>
      <c r="E286" s="0" t="s">
        <v>4368</v>
      </c>
      <c r="F286" s="0" t="s">
        <v>3584</v>
      </c>
      <c r="G286" s="0" t="s">
        <v>4369</v>
      </c>
    </row>
    <row customHeight="1" ht="11.25">
      <c r="A287" s="0" t="s">
        <v>16</v>
      </c>
      <c r="B287" s="0" t="s">
        <v>4344</v>
      </c>
      <c r="C287" s="0" t="s">
        <v>4345</v>
      </c>
      <c r="D287" s="0" t="s">
        <v>4370</v>
      </c>
      <c r="E287" s="0" t="s">
        <v>4371</v>
      </c>
      <c r="F287" s="0" t="s">
        <v>3584</v>
      </c>
      <c r="G287" s="0" t="s">
        <v>4372</v>
      </c>
    </row>
    <row customHeight="1" ht="11.25">
      <c r="A288" s="0" t="s">
        <v>16</v>
      </c>
      <c r="B288" s="0" t="s">
        <v>4344</v>
      </c>
      <c r="C288" s="0" t="s">
        <v>4345</v>
      </c>
      <c r="D288" s="0" t="s">
        <v>4373</v>
      </c>
      <c r="E288" s="0" t="s">
        <v>4374</v>
      </c>
      <c r="F288" s="0" t="s">
        <v>3584</v>
      </c>
      <c r="G288" s="0" t="s">
        <v>4375</v>
      </c>
    </row>
    <row customHeight="1" ht="11.25">
      <c r="A289" s="0" t="s">
        <v>16</v>
      </c>
      <c r="B289" s="0" t="s">
        <v>4344</v>
      </c>
      <c r="C289" s="0" t="s">
        <v>4345</v>
      </c>
      <c r="D289" s="0" t="s">
        <v>4376</v>
      </c>
      <c r="E289" s="0" t="s">
        <v>4377</v>
      </c>
      <c r="F289" s="0" t="s">
        <v>3584</v>
      </c>
      <c r="G289" s="0" t="s">
        <v>4378</v>
      </c>
    </row>
    <row customHeight="1" ht="11.25">
      <c r="A290" s="0" t="s">
        <v>16</v>
      </c>
      <c r="B290" s="0" t="s">
        <v>4379</v>
      </c>
      <c r="C290" s="0" t="s">
        <v>4380</v>
      </c>
      <c r="D290" s="0" t="s">
        <v>4379</v>
      </c>
      <c r="E290" s="0" t="s">
        <v>4380</v>
      </c>
      <c r="F290" s="0" t="s">
        <v>3581</v>
      </c>
      <c r="G290" s="0" t="s">
        <v>4381</v>
      </c>
    </row>
    <row customHeight="1" ht="11.25">
      <c r="A291" s="0" t="s">
        <v>16</v>
      </c>
      <c r="B291" s="0" t="s">
        <v>4379</v>
      </c>
      <c r="C291" s="0" t="s">
        <v>4380</v>
      </c>
      <c r="D291" s="0" t="s">
        <v>4382</v>
      </c>
      <c r="E291" s="0" t="s">
        <v>4383</v>
      </c>
      <c r="F291" s="0" t="s">
        <v>3584</v>
      </c>
      <c r="G291" s="0" t="s">
        <v>4384</v>
      </c>
    </row>
    <row customHeight="1" ht="11.25">
      <c r="A292" s="0" t="s">
        <v>16</v>
      </c>
      <c r="B292" s="0" t="s">
        <v>4379</v>
      </c>
      <c r="C292" s="0" t="s">
        <v>4380</v>
      </c>
      <c r="D292" s="0" t="s">
        <v>4385</v>
      </c>
      <c r="E292" s="0" t="s">
        <v>4386</v>
      </c>
      <c r="F292" s="0" t="s">
        <v>3584</v>
      </c>
      <c r="G292" s="0" t="s">
        <v>4387</v>
      </c>
    </row>
    <row customHeight="1" ht="11.25">
      <c r="A293" s="0" t="s">
        <v>16</v>
      </c>
      <c r="B293" s="0" t="s">
        <v>4379</v>
      </c>
      <c r="C293" s="0" t="s">
        <v>4380</v>
      </c>
      <c r="D293" s="0" t="s">
        <v>4388</v>
      </c>
      <c r="E293" s="0" t="s">
        <v>4389</v>
      </c>
      <c r="F293" s="0" t="s">
        <v>3584</v>
      </c>
      <c r="G293" s="0" t="s">
        <v>4390</v>
      </c>
    </row>
    <row customHeight="1" ht="11.25">
      <c r="A294" s="0" t="s">
        <v>16</v>
      </c>
      <c r="B294" s="0" t="s">
        <v>4379</v>
      </c>
      <c r="C294" s="0" t="s">
        <v>4380</v>
      </c>
      <c r="D294" s="0" t="s">
        <v>4391</v>
      </c>
      <c r="E294" s="0" t="s">
        <v>4392</v>
      </c>
      <c r="F294" s="0" t="s">
        <v>3584</v>
      </c>
      <c r="G294" s="0" t="s">
        <v>4393</v>
      </c>
    </row>
    <row customHeight="1" ht="11.25">
      <c r="A295" s="0" t="s">
        <v>16</v>
      </c>
      <c r="B295" s="0" t="s">
        <v>4379</v>
      </c>
      <c r="C295" s="0" t="s">
        <v>4380</v>
      </c>
      <c r="D295" s="0" t="s">
        <v>4394</v>
      </c>
      <c r="E295" s="0" t="s">
        <v>4395</v>
      </c>
      <c r="F295" s="0" t="s">
        <v>3584</v>
      </c>
      <c r="G295" s="0" t="s">
        <v>4396</v>
      </c>
    </row>
    <row customHeight="1" ht="11.25">
      <c r="A296" s="0" t="s">
        <v>16</v>
      </c>
      <c r="B296" s="0" t="s">
        <v>4379</v>
      </c>
      <c r="C296" s="0" t="s">
        <v>4380</v>
      </c>
      <c r="D296" s="0" t="s">
        <v>4397</v>
      </c>
      <c r="E296" s="0" t="s">
        <v>4398</v>
      </c>
      <c r="F296" s="0" t="s">
        <v>3584</v>
      </c>
      <c r="G296" s="0" t="s">
        <v>4399</v>
      </c>
    </row>
    <row customHeight="1" ht="11.25">
      <c r="A297" s="0" t="s">
        <v>16</v>
      </c>
      <c r="B297" s="0" t="s">
        <v>4379</v>
      </c>
      <c r="C297" s="0" t="s">
        <v>4380</v>
      </c>
      <c r="D297" s="0" t="s">
        <v>4400</v>
      </c>
      <c r="E297" s="0" t="s">
        <v>4401</v>
      </c>
      <c r="F297" s="0" t="s">
        <v>3584</v>
      </c>
      <c r="G297" s="0" t="s">
        <v>4402</v>
      </c>
    </row>
    <row customHeight="1" ht="11.25">
      <c r="A298" s="0" t="s">
        <v>16</v>
      </c>
      <c r="B298" s="0" t="s">
        <v>4379</v>
      </c>
      <c r="C298" s="0" t="s">
        <v>4380</v>
      </c>
      <c r="D298" s="0" t="s">
        <v>4403</v>
      </c>
      <c r="E298" s="0" t="s">
        <v>4404</v>
      </c>
      <c r="F298" s="0" t="s">
        <v>3584</v>
      </c>
      <c r="G298" s="0" t="s">
        <v>4405</v>
      </c>
    </row>
    <row customHeight="1" ht="11.25">
      <c r="A299" s="0" t="s">
        <v>16</v>
      </c>
      <c r="B299" s="0" t="s">
        <v>4379</v>
      </c>
      <c r="C299" s="0" t="s">
        <v>4380</v>
      </c>
      <c r="D299" s="0" t="s">
        <v>4406</v>
      </c>
      <c r="E299" s="0" t="s">
        <v>4407</v>
      </c>
      <c r="F299" s="0" t="s">
        <v>3584</v>
      </c>
      <c r="G299" s="0" t="s">
        <v>4408</v>
      </c>
    </row>
    <row customHeight="1" ht="11.25">
      <c r="A300" s="0" t="s">
        <v>16</v>
      </c>
      <c r="B300" s="0" t="s">
        <v>4379</v>
      </c>
      <c r="C300" s="0" t="s">
        <v>4380</v>
      </c>
      <c r="D300" s="0" t="s">
        <v>4409</v>
      </c>
      <c r="E300" s="0" t="s">
        <v>4410</v>
      </c>
      <c r="F300" s="0" t="s">
        <v>3584</v>
      </c>
      <c r="G300" s="0" t="s">
        <v>4411</v>
      </c>
    </row>
    <row customHeight="1" ht="11.25">
      <c r="A301" s="0" t="s">
        <v>16</v>
      </c>
      <c r="B301" s="0" t="s">
        <v>4379</v>
      </c>
      <c r="C301" s="0" t="s">
        <v>4380</v>
      </c>
      <c r="D301" s="0" t="s">
        <v>4412</v>
      </c>
      <c r="E301" s="0" t="s">
        <v>4413</v>
      </c>
      <c r="F301" s="0" t="s">
        <v>3584</v>
      </c>
      <c r="G301" s="0" t="s">
        <v>4414</v>
      </c>
    </row>
    <row customHeight="1" ht="11.25">
      <c r="A302" s="0" t="s">
        <v>16</v>
      </c>
      <c r="B302" s="0" t="s">
        <v>4415</v>
      </c>
      <c r="C302" s="0" t="s">
        <v>4416</v>
      </c>
      <c r="D302" s="0" t="s">
        <v>4415</v>
      </c>
      <c r="E302" s="0" t="s">
        <v>4416</v>
      </c>
      <c r="F302" s="0" t="s">
        <v>3581</v>
      </c>
      <c r="G302" s="0" t="s">
        <v>4417</v>
      </c>
    </row>
    <row customHeight="1" ht="11.25">
      <c r="A303" s="0" t="s">
        <v>16</v>
      </c>
      <c r="B303" s="0" t="s">
        <v>4415</v>
      </c>
      <c r="C303" s="0" t="s">
        <v>4416</v>
      </c>
      <c r="D303" s="0" t="s">
        <v>4418</v>
      </c>
      <c r="E303" s="0" t="s">
        <v>4419</v>
      </c>
      <c r="F303" s="0" t="s">
        <v>3584</v>
      </c>
      <c r="G303" s="0" t="s">
        <v>4420</v>
      </c>
    </row>
    <row customHeight="1" ht="11.25">
      <c r="A304" s="0" t="s">
        <v>16</v>
      </c>
      <c r="B304" s="0" t="s">
        <v>4415</v>
      </c>
      <c r="C304" s="0" t="s">
        <v>4416</v>
      </c>
      <c r="D304" s="0" t="s">
        <v>3600</v>
      </c>
      <c r="E304" s="0" t="s">
        <v>4421</v>
      </c>
      <c r="F304" s="0" t="s">
        <v>3584</v>
      </c>
      <c r="G304" s="0" t="s">
        <v>4422</v>
      </c>
    </row>
    <row customHeight="1" ht="11.25">
      <c r="A305" s="0" t="s">
        <v>16</v>
      </c>
      <c r="B305" s="0" t="s">
        <v>4415</v>
      </c>
      <c r="C305" s="0" t="s">
        <v>4416</v>
      </c>
      <c r="D305" s="0" t="s">
        <v>4423</v>
      </c>
      <c r="E305" s="0" t="s">
        <v>4424</v>
      </c>
      <c r="F305" s="0" t="s">
        <v>3584</v>
      </c>
      <c r="G305" s="0" t="s">
        <v>4425</v>
      </c>
    </row>
    <row customHeight="1" ht="11.25">
      <c r="A306" s="0" t="s">
        <v>16</v>
      </c>
      <c r="B306" s="0" t="s">
        <v>4415</v>
      </c>
      <c r="C306" s="0" t="s">
        <v>4416</v>
      </c>
      <c r="D306" s="0" t="s">
        <v>4426</v>
      </c>
      <c r="E306" s="0" t="s">
        <v>4427</v>
      </c>
      <c r="F306" s="0" t="s">
        <v>3584</v>
      </c>
      <c r="G306" s="0" t="s">
        <v>4428</v>
      </c>
    </row>
    <row customHeight="1" ht="11.25">
      <c r="A307" s="0" t="s">
        <v>16</v>
      </c>
      <c r="B307" s="0" t="s">
        <v>4415</v>
      </c>
      <c r="C307" s="0" t="s">
        <v>4416</v>
      </c>
      <c r="D307" s="0" t="s">
        <v>4429</v>
      </c>
      <c r="E307" s="0" t="s">
        <v>4430</v>
      </c>
      <c r="F307" s="0" t="s">
        <v>3584</v>
      </c>
      <c r="G307" s="0" t="s">
        <v>4431</v>
      </c>
    </row>
    <row customHeight="1" ht="11.25">
      <c r="A308" s="0" t="s">
        <v>16</v>
      </c>
      <c r="B308" s="0" t="s">
        <v>4415</v>
      </c>
      <c r="C308" s="0" t="s">
        <v>4416</v>
      </c>
      <c r="D308" s="0" t="s">
        <v>4432</v>
      </c>
      <c r="E308" s="0" t="s">
        <v>4433</v>
      </c>
      <c r="F308" s="0" t="s">
        <v>3584</v>
      </c>
      <c r="G308" s="0" t="s">
        <v>4434</v>
      </c>
    </row>
    <row customHeight="1" ht="11.25">
      <c r="A309" s="0" t="s">
        <v>16</v>
      </c>
      <c r="B309" s="0" t="s">
        <v>4415</v>
      </c>
      <c r="C309" s="0" t="s">
        <v>4416</v>
      </c>
      <c r="D309" s="0" t="s">
        <v>4435</v>
      </c>
      <c r="E309" s="0" t="s">
        <v>4436</v>
      </c>
      <c r="F309" s="0" t="s">
        <v>3584</v>
      </c>
      <c r="G309" s="0" t="s">
        <v>4437</v>
      </c>
    </row>
    <row customHeight="1" ht="11.25">
      <c r="A310" s="0" t="s">
        <v>16</v>
      </c>
      <c r="B310" s="0" t="s">
        <v>4415</v>
      </c>
      <c r="C310" s="0" t="s">
        <v>4416</v>
      </c>
      <c r="D310" s="0" t="s">
        <v>4438</v>
      </c>
      <c r="E310" s="0" t="s">
        <v>4439</v>
      </c>
      <c r="F310" s="0" t="s">
        <v>3584</v>
      </c>
      <c r="G310" s="0" t="s">
        <v>4440</v>
      </c>
    </row>
    <row customHeight="1" ht="11.25">
      <c r="A311" s="0" t="s">
        <v>16</v>
      </c>
      <c r="B311" s="0" t="s">
        <v>4415</v>
      </c>
      <c r="C311" s="0" t="s">
        <v>4416</v>
      </c>
      <c r="D311" s="0" t="s">
        <v>4441</v>
      </c>
      <c r="E311" s="0" t="s">
        <v>4442</v>
      </c>
      <c r="F311" s="0" t="s">
        <v>3584</v>
      </c>
      <c r="G311" s="0" t="s">
        <v>4443</v>
      </c>
    </row>
    <row customHeight="1" ht="11.25">
      <c r="A312" s="0" t="s">
        <v>16</v>
      </c>
      <c r="B312" s="0" t="s">
        <v>4415</v>
      </c>
      <c r="C312" s="0" t="s">
        <v>4416</v>
      </c>
      <c r="D312" s="0" t="s">
        <v>4444</v>
      </c>
      <c r="E312" s="0" t="s">
        <v>4445</v>
      </c>
      <c r="F312" s="0" t="s">
        <v>3584</v>
      </c>
      <c r="G312" s="0" t="s">
        <v>4446</v>
      </c>
    </row>
    <row customHeight="1" ht="11.25">
      <c r="A313" s="0" t="s">
        <v>16</v>
      </c>
      <c r="B313" s="0" t="s">
        <v>4447</v>
      </c>
      <c r="C313" s="0" t="s">
        <v>4448</v>
      </c>
      <c r="D313" s="0" t="s">
        <v>4447</v>
      </c>
      <c r="E313" s="0" t="s">
        <v>4448</v>
      </c>
      <c r="F313" s="0" t="s">
        <v>3581</v>
      </c>
      <c r="G313" s="0" t="s">
        <v>4449</v>
      </c>
    </row>
    <row customHeight="1" ht="11.25">
      <c r="A314" s="0" t="s">
        <v>16</v>
      </c>
      <c r="B314" s="0" t="s">
        <v>4447</v>
      </c>
      <c r="C314" s="0" t="s">
        <v>4448</v>
      </c>
      <c r="D314" s="0" t="s">
        <v>4450</v>
      </c>
      <c r="E314" s="0" t="s">
        <v>4451</v>
      </c>
      <c r="F314" s="0" t="s">
        <v>3584</v>
      </c>
      <c r="G314" s="0" t="s">
        <v>4452</v>
      </c>
    </row>
    <row customHeight="1" ht="11.25">
      <c r="A315" s="0" t="s">
        <v>16</v>
      </c>
      <c r="B315" s="0" t="s">
        <v>4447</v>
      </c>
      <c r="C315" s="0" t="s">
        <v>4448</v>
      </c>
      <c r="D315" s="0" t="s">
        <v>4453</v>
      </c>
      <c r="E315" s="0" t="s">
        <v>4454</v>
      </c>
      <c r="F315" s="0" t="s">
        <v>3584</v>
      </c>
      <c r="G315" s="0" t="s">
        <v>4455</v>
      </c>
    </row>
    <row customHeight="1" ht="11.25">
      <c r="A316" s="0" t="s">
        <v>16</v>
      </c>
      <c r="B316" s="0" t="s">
        <v>4447</v>
      </c>
      <c r="C316" s="0" t="s">
        <v>4448</v>
      </c>
      <c r="D316" s="0" t="s">
        <v>4456</v>
      </c>
      <c r="E316" s="0" t="s">
        <v>4457</v>
      </c>
      <c r="F316" s="0" t="s">
        <v>3584</v>
      </c>
      <c r="G316" s="0" t="s">
        <v>4458</v>
      </c>
    </row>
    <row customHeight="1" ht="11.25">
      <c r="A317" s="0" t="s">
        <v>16</v>
      </c>
      <c r="B317" s="0" t="s">
        <v>4447</v>
      </c>
      <c r="C317" s="0" t="s">
        <v>4448</v>
      </c>
      <c r="D317" s="0" t="s">
        <v>4459</v>
      </c>
      <c r="E317" s="0" t="s">
        <v>4460</v>
      </c>
      <c r="F317" s="0" t="s">
        <v>3584</v>
      </c>
      <c r="G317" s="0" t="s">
        <v>4461</v>
      </c>
    </row>
    <row customHeight="1" ht="11.25">
      <c r="A318" s="0" t="s">
        <v>16</v>
      </c>
      <c r="B318" s="0" t="s">
        <v>4447</v>
      </c>
      <c r="C318" s="0" t="s">
        <v>4448</v>
      </c>
      <c r="D318" s="0" t="s">
        <v>4462</v>
      </c>
      <c r="E318" s="0" t="s">
        <v>4463</v>
      </c>
      <c r="F318" s="0" t="s">
        <v>3584</v>
      </c>
      <c r="G318" s="0" t="s">
        <v>4464</v>
      </c>
    </row>
    <row customHeight="1" ht="11.25">
      <c r="A319" s="0" t="s">
        <v>16</v>
      </c>
      <c r="B319" s="0" t="s">
        <v>4447</v>
      </c>
      <c r="C319" s="0" t="s">
        <v>4448</v>
      </c>
      <c r="D319" s="0" t="s">
        <v>4465</v>
      </c>
      <c r="E319" s="0" t="s">
        <v>4466</v>
      </c>
      <c r="F319" s="0" t="s">
        <v>3584</v>
      </c>
      <c r="G319" s="0" t="s">
        <v>4467</v>
      </c>
    </row>
    <row customHeight="1" ht="11.25">
      <c r="A320" s="0" t="s">
        <v>16</v>
      </c>
      <c r="B320" s="0" t="s">
        <v>4447</v>
      </c>
      <c r="C320" s="0" t="s">
        <v>4448</v>
      </c>
      <c r="D320" s="0" t="s">
        <v>4468</v>
      </c>
      <c r="E320" s="0" t="s">
        <v>4469</v>
      </c>
      <c r="F320" s="0" t="s">
        <v>3584</v>
      </c>
      <c r="G320" s="0" t="s">
        <v>4470</v>
      </c>
    </row>
    <row customHeight="1" ht="11.25">
      <c r="A321" s="0" t="s">
        <v>16</v>
      </c>
      <c r="B321" s="0" t="s">
        <v>4447</v>
      </c>
      <c r="C321" s="0" t="s">
        <v>4448</v>
      </c>
      <c r="D321" s="0" t="s">
        <v>4471</v>
      </c>
      <c r="E321" s="0" t="s">
        <v>4472</v>
      </c>
      <c r="F321" s="0" t="s">
        <v>3584</v>
      </c>
      <c r="G321" s="0" t="s">
        <v>4473</v>
      </c>
    </row>
    <row customHeight="1" ht="11.25">
      <c r="A322" s="0" t="s">
        <v>16</v>
      </c>
      <c r="B322" s="0" t="s">
        <v>4447</v>
      </c>
      <c r="C322" s="0" t="s">
        <v>4448</v>
      </c>
      <c r="D322" s="0" t="s">
        <v>4474</v>
      </c>
      <c r="E322" s="0" t="s">
        <v>4475</v>
      </c>
      <c r="F322" s="0" t="s">
        <v>3584</v>
      </c>
      <c r="G322" s="0" t="s">
        <v>4476</v>
      </c>
    </row>
    <row customHeight="1" ht="11.25">
      <c r="A323" s="0" t="s">
        <v>16</v>
      </c>
      <c r="B323" s="0" t="s">
        <v>4447</v>
      </c>
      <c r="C323" s="0" t="s">
        <v>4448</v>
      </c>
      <c r="D323" s="0" t="s">
        <v>4477</v>
      </c>
      <c r="E323" s="0" t="s">
        <v>4478</v>
      </c>
      <c r="F323" s="0" t="s">
        <v>3584</v>
      </c>
      <c r="G323" s="0" t="s">
        <v>4479</v>
      </c>
    </row>
    <row customHeight="1" ht="11.25">
      <c r="A324" s="0" t="s">
        <v>16</v>
      </c>
      <c r="B324" s="0" t="s">
        <v>4447</v>
      </c>
      <c r="C324" s="0" t="s">
        <v>4448</v>
      </c>
      <c r="D324" s="0" t="s">
        <v>4480</v>
      </c>
      <c r="E324" s="0" t="s">
        <v>4481</v>
      </c>
      <c r="F324" s="0" t="s">
        <v>3584</v>
      </c>
      <c r="G324" s="0" t="s">
        <v>4482</v>
      </c>
    </row>
    <row customHeight="1" ht="11.25">
      <c r="A325" s="0" t="s">
        <v>16</v>
      </c>
      <c r="B325" s="0" t="s">
        <v>4447</v>
      </c>
      <c r="C325" s="0" t="s">
        <v>4448</v>
      </c>
      <c r="D325" s="0" t="s">
        <v>4483</v>
      </c>
      <c r="E325" s="0" t="s">
        <v>4484</v>
      </c>
      <c r="F325" s="0" t="s">
        <v>3584</v>
      </c>
      <c r="G325" s="0" t="s">
        <v>4485</v>
      </c>
    </row>
    <row customHeight="1" ht="11.25">
      <c r="A326" s="0" t="s">
        <v>16</v>
      </c>
      <c r="B326" s="0" t="s">
        <v>100</v>
      </c>
      <c r="C326" s="0" t="s">
        <v>101</v>
      </c>
      <c r="D326" s="0" t="s">
        <v>100</v>
      </c>
      <c r="E326" s="0" t="s">
        <v>101</v>
      </c>
      <c r="F326" s="0" t="s">
        <v>4486</v>
      </c>
      <c r="G326" s="0" t="s">
        <v>99</v>
      </c>
    </row>
    <row customHeight="1" ht="11.25">
      <c r="A327" s="0" t="s">
        <v>16</v>
      </c>
      <c r="B327" s="0" t="s">
        <v>4487</v>
      </c>
      <c r="C327" s="0" t="s">
        <v>4488</v>
      </c>
      <c r="D327" s="0" t="s">
        <v>4487</v>
      </c>
      <c r="E327" s="0" t="s">
        <v>4488</v>
      </c>
      <c r="F327" s="0" t="s">
        <v>4486</v>
      </c>
      <c r="G327" s="0" t="s">
        <v>4489</v>
      </c>
    </row>
    <row customHeight="1" ht="11.25">
      <c r="A328" s="0" t="s">
        <v>16</v>
      </c>
      <c r="B328" s="0" t="s">
        <v>4490</v>
      </c>
      <c r="C328" s="0" t="s">
        <v>4491</v>
      </c>
      <c r="D328" s="0" t="s">
        <v>4490</v>
      </c>
      <c r="E328" s="0" t="s">
        <v>4491</v>
      </c>
      <c r="F328" s="0" t="s">
        <v>4486</v>
      </c>
      <c r="G328" s="0" t="s">
        <v>4492</v>
      </c>
    </row>
    <row customHeight="1" ht="11.25">
      <c r="A329" s="0" t="s">
        <v>16</v>
      </c>
      <c r="B329" s="0" t="s">
        <v>4493</v>
      </c>
      <c r="C329" s="0" t="s">
        <v>4494</v>
      </c>
      <c r="D329" s="0" t="s">
        <v>4493</v>
      </c>
      <c r="E329" s="0" t="s">
        <v>4494</v>
      </c>
      <c r="F329" s="0" t="s">
        <v>4486</v>
      </c>
      <c r="G329" s="0" t="s">
        <v>4495</v>
      </c>
    </row>
    <row customHeight="1" ht="11.25">
      <c r="A330" s="0" t="s">
        <v>16</v>
      </c>
      <c r="B330" s="0" t="s">
        <v>4496</v>
      </c>
      <c r="C330" s="0" t="s">
        <v>4497</v>
      </c>
      <c r="D330" s="0" t="s">
        <v>4496</v>
      </c>
      <c r="E330" s="0" t="s">
        <v>4497</v>
      </c>
      <c r="F330" s="0" t="s">
        <v>4486</v>
      </c>
      <c r="G330" s="0" t="s">
        <v>4498</v>
      </c>
    </row>
    <row customHeight="1" ht="11.25">
      <c r="A331" s="0" t="s">
        <v>16</v>
      </c>
      <c r="B331" s="0" t="s">
        <v>4499</v>
      </c>
      <c r="C331" s="0" t="s">
        <v>4500</v>
      </c>
      <c r="D331" s="0" t="s">
        <v>4499</v>
      </c>
      <c r="E331" s="0" t="s">
        <v>4500</v>
      </c>
      <c r="F331" s="0" t="s">
        <v>4486</v>
      </c>
      <c r="G331" s="0" t="s">
        <v>4501</v>
      </c>
    </row>
    <row customHeight="1" ht="11.25">
      <c r="A332" s="0" t="s">
        <v>16</v>
      </c>
      <c r="B332" s="0" t="s">
        <v>4502</v>
      </c>
      <c r="C332" s="0" t="s">
        <v>4503</v>
      </c>
      <c r="D332" s="0" t="s">
        <v>4504</v>
      </c>
      <c r="E332" s="0" t="s">
        <v>4505</v>
      </c>
      <c r="F332" s="0" t="s">
        <v>4506</v>
      </c>
      <c r="G332" s="0" t="s">
        <v>4507</v>
      </c>
    </row>
    <row customHeight="1" ht="11.25">
      <c r="A333" s="0" t="s">
        <v>16</v>
      </c>
      <c r="B333" s="0" t="s">
        <v>4502</v>
      </c>
      <c r="C333" s="0" t="s">
        <v>4503</v>
      </c>
      <c r="D333" s="0" t="s">
        <v>4508</v>
      </c>
      <c r="E333" s="0" t="s">
        <v>4509</v>
      </c>
      <c r="F333" s="0" t="s">
        <v>4506</v>
      </c>
      <c r="G333" s="0" t="s">
        <v>4510</v>
      </c>
    </row>
    <row customHeight="1" ht="11.25">
      <c r="A334" s="0" t="s">
        <v>16</v>
      </c>
      <c r="B334" s="0" t="s">
        <v>4502</v>
      </c>
      <c r="C334" s="0" t="s">
        <v>4503</v>
      </c>
      <c r="D334" s="0" t="s">
        <v>4511</v>
      </c>
      <c r="E334" s="0" t="s">
        <v>4512</v>
      </c>
      <c r="F334" s="0" t="s">
        <v>4506</v>
      </c>
      <c r="G334" s="0" t="s">
        <v>4513</v>
      </c>
    </row>
    <row customHeight="1" ht="11.25">
      <c r="A335" s="0" t="s">
        <v>16</v>
      </c>
      <c r="B335" s="0" t="s">
        <v>4502</v>
      </c>
      <c r="C335" s="0" t="s">
        <v>4503</v>
      </c>
      <c r="D335" s="0" t="s">
        <v>4514</v>
      </c>
      <c r="E335" s="0" t="s">
        <v>4515</v>
      </c>
      <c r="F335" s="0" t="s">
        <v>4506</v>
      </c>
      <c r="G335" s="0" t="s">
        <v>4516</v>
      </c>
    </row>
    <row customHeight="1" ht="11.25">
      <c r="A336" s="0" t="s">
        <v>16</v>
      </c>
      <c r="B336" s="0" t="s">
        <v>4502</v>
      </c>
      <c r="C336" s="0" t="s">
        <v>4503</v>
      </c>
      <c r="D336" s="0" t="s">
        <v>4517</v>
      </c>
      <c r="E336" s="0" t="s">
        <v>4518</v>
      </c>
      <c r="F336" s="0" t="s">
        <v>4506</v>
      </c>
      <c r="G336" s="0" t="s">
        <v>4519</v>
      </c>
    </row>
    <row customHeight="1" ht="11.25">
      <c r="A337" s="0" t="s">
        <v>16</v>
      </c>
      <c r="B337" s="0" t="s">
        <v>4502</v>
      </c>
      <c r="C337" s="0" t="s">
        <v>4503</v>
      </c>
      <c r="D337" s="0" t="s">
        <v>4520</v>
      </c>
      <c r="E337" s="0" t="s">
        <v>4521</v>
      </c>
      <c r="F337" s="0" t="s">
        <v>4506</v>
      </c>
      <c r="G337" s="0" t="s">
        <v>4522</v>
      </c>
    </row>
    <row customHeight="1" ht="11.25">
      <c r="A338" s="0" t="s">
        <v>16</v>
      </c>
      <c r="B338" s="0" t="s">
        <v>4502</v>
      </c>
      <c r="C338" s="0" t="s">
        <v>4503</v>
      </c>
      <c r="D338" s="0" t="s">
        <v>4523</v>
      </c>
      <c r="E338" s="0" t="s">
        <v>4524</v>
      </c>
      <c r="F338" s="0" t="s">
        <v>4506</v>
      </c>
      <c r="G338" s="0" t="s">
        <v>4525</v>
      </c>
    </row>
    <row customHeight="1" ht="11.25">
      <c r="A339" s="0" t="s">
        <v>16</v>
      </c>
      <c r="B339" s="0" t="s">
        <v>4502</v>
      </c>
      <c r="C339" s="0" t="s">
        <v>4503</v>
      </c>
      <c r="D339" s="0" t="s">
        <v>4526</v>
      </c>
      <c r="E339" s="0" t="s">
        <v>4527</v>
      </c>
      <c r="F339" s="0" t="s">
        <v>4506</v>
      </c>
      <c r="G339" s="0" t="s">
        <v>4528</v>
      </c>
    </row>
    <row customHeight="1" ht="11.25">
      <c r="A340" s="0" t="s">
        <v>16</v>
      </c>
      <c r="B340" s="0" t="s">
        <v>4502</v>
      </c>
      <c r="C340" s="0" t="s">
        <v>4503</v>
      </c>
      <c r="D340" s="0" t="s">
        <v>4529</v>
      </c>
      <c r="E340" s="0" t="s">
        <v>4530</v>
      </c>
      <c r="F340" s="0" t="s">
        <v>4506</v>
      </c>
      <c r="G340" s="0" t="s">
        <v>4531</v>
      </c>
    </row>
    <row customHeight="1" ht="11.25">
      <c r="A341" s="0" t="s">
        <v>16</v>
      </c>
      <c r="B341" s="0" t="s">
        <v>4502</v>
      </c>
      <c r="C341" s="0" t="s">
        <v>4503</v>
      </c>
      <c r="D341" s="0" t="s">
        <v>4502</v>
      </c>
      <c r="E341" s="0" t="s">
        <v>4503</v>
      </c>
      <c r="F341" s="0" t="s">
        <v>4532</v>
      </c>
      <c r="G341" s="0" t="s">
        <v>4533</v>
      </c>
    </row>
    <row customHeight="1" ht="11.25">
      <c r="A342" s="0" t="s">
        <v>16</v>
      </c>
      <c r="B342" s="0" t="s">
        <v>4534</v>
      </c>
      <c r="C342" s="0" t="s">
        <v>4535</v>
      </c>
      <c r="D342" s="0" t="s">
        <v>4534</v>
      </c>
      <c r="E342" s="0" t="s">
        <v>4535</v>
      </c>
      <c r="F342" s="0" t="s">
        <v>4486</v>
      </c>
      <c r="G342" s="0" t="s">
        <v>4536</v>
      </c>
    </row>
    <row customHeight="1" ht="11.25">
      <c r="A343" s="0" t="s">
        <v>16</v>
      </c>
      <c r="B343" s="0" t="s">
        <v>4537</v>
      </c>
      <c r="C343" s="0" t="s">
        <v>4538</v>
      </c>
      <c r="D343" s="0" t="s">
        <v>4537</v>
      </c>
      <c r="E343" s="0" t="s">
        <v>4538</v>
      </c>
      <c r="F343" s="0" t="s">
        <v>4486</v>
      </c>
      <c r="G343" s="0" t="s">
        <v>4539</v>
      </c>
    </row>
    <row customHeight="1" ht="11.25">
      <c r="A344" s="0" t="s">
        <v>16</v>
      </c>
      <c r="B344" s="0" t="s">
        <v>4540</v>
      </c>
      <c r="C344" s="0" t="s">
        <v>4541</v>
      </c>
      <c r="D344" s="0" t="s">
        <v>4540</v>
      </c>
      <c r="E344" s="0" t="s">
        <v>4541</v>
      </c>
      <c r="F344" s="0" t="s">
        <v>4486</v>
      </c>
      <c r="G344" s="0" t="s">
        <v>4542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6E8545-BC51-FED2-5907-0.50A784C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4630</v>
      </c>
      <c r="B1" s="844" t="s">
        <v>4631</v>
      </c>
      <c r="C1" s="844" t="s">
        <v>1267</v>
      </c>
    </row>
    <row customHeight="1" ht="11.25">
      <c r="A2" s="844">
        <v>4189678</v>
      </c>
      <c r="B2" s="844" t="s">
        <v>4632</v>
      </c>
      <c r="C2" s="844" t="s">
        <v>4633</v>
      </c>
    </row>
    <row customHeight="1" ht="11.25">
      <c r="A3" s="844">
        <v>4190415</v>
      </c>
      <c r="B3" s="844" t="s">
        <v>4634</v>
      </c>
      <c r="C3" s="844" t="s">
        <v>4633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22439-D895-7626-F29E-0.330A4FF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4635</v>
      </c>
      <c r="B1" s="172" t="s">
        <v>4636</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46BDE-9D2C-8B22-A5FD-0.906BD5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4637</v>
      </c>
      <c r="B1" s="0" t="b">
        <v>1</v>
      </c>
    </row>
    <row customHeight="1" ht="11.25">
      <c r="A2" s="0" t="s">
        <v>4638</v>
      </c>
      <c r="B2" s="0" t="b">
        <v>0</v>
      </c>
    </row>
    <row customHeight="1" ht="11.25">
      <c r="A3" s="0" t="s">
        <v>4639</v>
      </c>
      <c r="B3" s="0" t="b">
        <v>1</v>
      </c>
    </row>
    <row customHeight="1" ht="11.25">
      <c r="A4" s="0" t="s">
        <v>4640</v>
      </c>
      <c r="B4" s="0" t="b">
        <v>0</v>
      </c>
    </row>
    <row customHeight="1" ht="11.25">
      <c r="A5" s="0" t="s">
        <v>4641</v>
      </c>
      <c r="B5" s="0" t="b">
        <v>0</v>
      </c>
    </row>
    <row customHeight="1" ht="11.25">
      <c r="A6" s="0" t="s">
        <v>4642</v>
      </c>
      <c r="B6" s="0" t="b">
        <v>0</v>
      </c>
    </row>
    <row customHeight="1" ht="11.25">
      <c r="A7" s="0" t="s">
        <v>4643</v>
      </c>
      <c r="B7" s="0" t="b">
        <v>0</v>
      </c>
    </row>
    <row customHeight="1" ht="11.25">
      <c r="A8" s="0" t="s">
        <v>4644</v>
      </c>
      <c r="B8" s="0" t="b">
        <v>0</v>
      </c>
    </row>
    <row customHeight="1" ht="11.25">
      <c r="A9" s="0" t="s">
        <v>4645</v>
      </c>
      <c r="B9" s="0" t="b">
        <v>0</v>
      </c>
    </row>
    <row customHeight="1" ht="11.25">
      <c r="A10" s="0" t="s">
        <v>4646</v>
      </c>
      <c r="B10" s="0" t="b">
        <v>0</v>
      </c>
    </row>
    <row customHeight="1" ht="11.25">
      <c r="A11" s="0" t="s">
        <v>4647</v>
      </c>
      <c r="B11" s="0" t="b">
        <v>1</v>
      </c>
    </row>
    <row customHeight="1" ht="11.25">
      <c r="A12" s="0" t="s">
        <v>4648</v>
      </c>
      <c r="B12" s="0" t="b">
        <v>0</v>
      </c>
    </row>
    <row customHeight="1" ht="11.25">
      <c r="A13" s="0" t="s">
        <v>4649</v>
      </c>
      <c r="B13" s="0" t="b">
        <v>0</v>
      </c>
    </row>
    <row customHeight="1" ht="11.25">
      <c r="A14" s="0" t="s">
        <v>4650</v>
      </c>
      <c r="B14" s="0" t="b">
        <v>0</v>
      </c>
    </row>
    <row customHeight="1" ht="11.25">
      <c r="A15" s="0" t="s">
        <v>4651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8938E1-9CD2-F77A-861B-0.284BB4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3195"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18B67-9068-5639-902E-0.B64C2D5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4652</v>
      </c>
      <c r="B1" s="76" t="s">
        <v>4653</v>
      </c>
    </row>
    <row customHeight="1" ht="11.25">
      <c r="A2" s="73" t="s">
        <v>4654</v>
      </c>
      <c r="B2" s="73" t="s">
        <v>4655</v>
      </c>
    </row>
    <row customHeight="1" ht="11.25">
      <c r="A3" s="73" t="s">
        <v>4656</v>
      </c>
      <c r="B3" s="73" t="s">
        <v>4657</v>
      </c>
    </row>
    <row customHeight="1" ht="11.25">
      <c r="A4" s="73" t="s">
        <v>4658</v>
      </c>
      <c r="B4" s="73" t="s">
        <v>4659</v>
      </c>
    </row>
    <row customHeight="1" ht="11.25">
      <c r="A5" s="73" t="s">
        <v>4660</v>
      </c>
      <c r="B5" s="73" t="s">
        <v>4661</v>
      </c>
    </row>
    <row customHeight="1" ht="11.25">
      <c r="A6" s="73" t="s">
        <v>4662</v>
      </c>
      <c r="B6" s="73" t="s">
        <v>4663</v>
      </c>
    </row>
    <row customHeight="1" ht="11.25">
      <c r="A7" s="73" t="s">
        <v>4664</v>
      </c>
      <c r="B7" s="73" t="s">
        <v>4665</v>
      </c>
    </row>
    <row customHeight="1" ht="11.25">
      <c r="A8" s="73" t="s">
        <v>4666</v>
      </c>
      <c r="B8" s="73" t="s">
        <v>4667</v>
      </c>
    </row>
    <row customHeight="1" ht="11.25">
      <c r="A9" s="73" t="s">
        <v>4668</v>
      </c>
      <c r="B9" s="73" t="s">
        <v>4669</v>
      </c>
    </row>
    <row customHeight="1" ht="11.25">
      <c r="A10" s="73" t="s">
        <v>4670</v>
      </c>
      <c r="B10" s="73" t="s">
        <v>4671</v>
      </c>
    </row>
    <row customHeight="1" ht="11.25">
      <c r="A11" s="73" t="s">
        <v>4672</v>
      </c>
      <c r="B11" s="73" t="s">
        <v>4673</v>
      </c>
    </row>
    <row customHeight="1" ht="11.25">
      <c r="A12" s="73" t="s">
        <v>4674</v>
      </c>
      <c r="B12" s="73" t="s">
        <v>4675</v>
      </c>
    </row>
    <row customHeight="1" ht="11.25">
      <c r="A13" s="73" t="s">
        <v>4676</v>
      </c>
      <c r="B13" s="73" t="s">
        <v>4677</v>
      </c>
    </row>
    <row customHeight="1" ht="11.25">
      <c r="A14" s="73" t="s">
        <v>4678</v>
      </c>
      <c r="B14" s="73" t="s">
        <v>4679</v>
      </c>
    </row>
    <row customHeight="1" ht="11.25">
      <c r="A15" s="73" t="s">
        <v>4680</v>
      </c>
      <c r="B15" s="73" t="s">
        <v>4681</v>
      </c>
    </row>
    <row customHeight="1" ht="11.25">
      <c r="A16" s="73" t="s">
        <v>4682</v>
      </c>
      <c r="B16" s="73" t="s">
        <v>4683</v>
      </c>
    </row>
    <row customHeight="1" ht="11.25">
      <c r="A17" s="73" t="s">
        <v>4684</v>
      </c>
      <c r="B17" s="73" t="s">
        <v>4685</v>
      </c>
    </row>
    <row customHeight="1" ht="11.25">
      <c r="A18" s="73" t="s">
        <v>4686</v>
      </c>
      <c r="B18" s="73" t="s">
        <v>4687</v>
      </c>
    </row>
    <row customHeight="1" ht="11.25">
      <c r="A19" s="73" t="s">
        <v>4688</v>
      </c>
      <c r="B19" s="73" t="s">
        <v>4689</v>
      </c>
    </row>
    <row customHeight="1" ht="11.25">
      <c r="A20" s="73" t="s">
        <v>4690</v>
      </c>
      <c r="B20" s="73" t="s">
        <v>4691</v>
      </c>
    </row>
    <row customHeight="1" ht="11.25">
      <c r="A21" s="73" t="s">
        <v>4692</v>
      </c>
      <c r="B21" s="73" t="s">
        <v>4693</v>
      </c>
    </row>
    <row customHeight="1" ht="11.25">
      <c r="A22" s="73" t="s">
        <v>4694</v>
      </c>
      <c r="B22" s="73" t="s">
        <v>4695</v>
      </c>
    </row>
    <row customHeight="1" ht="11.25">
      <c r="A23" s="73" t="s">
        <v>4696</v>
      </c>
      <c r="B23" s="73" t="s">
        <v>4697</v>
      </c>
    </row>
    <row customHeight="1" ht="11.25">
      <c r="A24" s="73" t="s">
        <v>4698</v>
      </c>
      <c r="B24" s="73" t="s">
        <v>4699</v>
      </c>
    </row>
    <row customHeight="1" ht="11.25">
      <c r="A25" s="73" t="s">
        <v>4700</v>
      </c>
      <c r="B25" s="73" t="s">
        <v>4701</v>
      </c>
    </row>
    <row customHeight="1" ht="11.25">
      <c r="A26" s="73" t="s">
        <v>4702</v>
      </c>
      <c r="B26" s="73" t="s">
        <v>4703</v>
      </c>
    </row>
    <row customHeight="1" ht="11.25">
      <c r="A27" s="73" t="s">
        <v>4704</v>
      </c>
      <c r="B27" s="73" t="s">
        <v>4705</v>
      </c>
    </row>
    <row customHeight="1" ht="11.25">
      <c r="A28" s="73" t="s">
        <v>4706</v>
      </c>
      <c r="B28" s="73" t="s">
        <v>4707</v>
      </c>
    </row>
    <row customHeight="1" ht="11.25">
      <c r="A29" s="73" t="s">
        <v>4708</v>
      </c>
      <c r="B29" s="73" t="s">
        <v>4709</v>
      </c>
    </row>
    <row customHeight="1" ht="11.25">
      <c r="A30" s="73" t="s">
        <v>4710</v>
      </c>
      <c r="B30" s="73" t="s">
        <v>4711</v>
      </c>
    </row>
    <row customHeight="1" ht="11.25">
      <c r="A31" s="73" t="s">
        <v>4712</v>
      </c>
      <c r="B31" s="73" t="s">
        <v>4713</v>
      </c>
    </row>
    <row customHeight="1" ht="11.25">
      <c r="A32" s="73" t="s">
        <v>4714</v>
      </c>
      <c r="B32" s="73" t="s">
        <v>4715</v>
      </c>
    </row>
    <row customHeight="1" ht="11.25">
      <c r="A33" s="73" t="s">
        <v>4716</v>
      </c>
      <c r="B33" s="73" t="s">
        <v>4717</v>
      </c>
    </row>
    <row customHeight="1" ht="11.25">
      <c r="A34" s="73" t="s">
        <v>4718</v>
      </c>
      <c r="B34" s="73" t="s">
        <v>4719</v>
      </c>
    </row>
    <row customHeight="1" ht="11.25">
      <c r="A35" s="73" t="s">
        <v>4720</v>
      </c>
      <c r="B35" s="73" t="s">
        <v>4721</v>
      </c>
    </row>
    <row customHeight="1" ht="11.25">
      <c r="A36" s="73" t="s">
        <v>4722</v>
      </c>
      <c r="B36" s="73" t="s">
        <v>4723</v>
      </c>
    </row>
    <row customHeight="1" ht="11.25">
      <c r="A37" s="73" t="s">
        <v>4724</v>
      </c>
      <c r="B37" s="73" t="s">
        <v>4725</v>
      </c>
    </row>
    <row customHeight="1" ht="11.25">
      <c r="A38" s="73" t="s">
        <v>4726</v>
      </c>
      <c r="B38" s="73" t="s">
        <v>4727</v>
      </c>
    </row>
    <row customHeight="1" ht="11.25">
      <c r="A39" s="73" t="s">
        <v>4728</v>
      </c>
      <c r="B39" s="73" t="s">
        <v>4729</v>
      </c>
    </row>
    <row customHeight="1" ht="11.25">
      <c r="A40" s="73" t="s">
        <v>4730</v>
      </c>
      <c r="B40" s="73" t="s">
        <v>4731</v>
      </c>
    </row>
    <row customHeight="1" ht="11.25">
      <c r="A41" s="73" t="s">
        <v>4732</v>
      </c>
      <c r="B41" s="73" t="s">
        <v>4733</v>
      </c>
    </row>
    <row customHeight="1" ht="11.25">
      <c r="A42" s="73" t="s">
        <v>4734</v>
      </c>
      <c r="B42" s="73" t="s">
        <v>4735</v>
      </c>
    </row>
    <row customHeight="1" ht="11.25">
      <c r="A43" s="73" t="s">
        <v>4736</v>
      </c>
      <c r="B43" s="73" t="s">
        <v>4737</v>
      </c>
    </row>
    <row customHeight="1" ht="11.25">
      <c r="A44" s="73" t="s">
        <v>4738</v>
      </c>
      <c r="B44" s="73" t="s">
        <v>4739</v>
      </c>
    </row>
    <row customHeight="1" ht="11.25">
      <c r="A45" s="73" t="s">
        <v>4740</v>
      </c>
      <c r="B45" s="73" t="s">
        <v>4741</v>
      </c>
    </row>
    <row customHeight="1" ht="11.25">
      <c r="A46" s="73" t="s">
        <v>4742</v>
      </c>
      <c r="B46" s="73" t="s">
        <v>4743</v>
      </c>
    </row>
    <row customHeight="1" ht="11.25">
      <c r="A47" s="73" t="s">
        <v>4744</v>
      </c>
      <c r="B47" s="73" t="s">
        <v>4745</v>
      </c>
    </row>
    <row customHeight="1" ht="11.25">
      <c r="A48" s="73" t="s">
        <v>4746</v>
      </c>
      <c r="B48" s="73" t="s">
        <v>4747</v>
      </c>
    </row>
    <row customHeight="1" ht="11.25">
      <c r="A49" s="73" t="s">
        <v>4748</v>
      </c>
      <c r="B49" s="73" t="s">
        <v>4749</v>
      </c>
    </row>
    <row customHeight="1" ht="11.25">
      <c r="A50" s="73" t="s">
        <v>4750</v>
      </c>
      <c r="B50" s="73" t="s">
        <v>4751</v>
      </c>
    </row>
    <row customHeight="1" ht="11.25">
      <c r="A51" s="73" t="s">
        <v>4752</v>
      </c>
      <c r="B51" s="73" t="s">
        <v>4753</v>
      </c>
    </row>
    <row customHeight="1" ht="11.25">
      <c r="A52" s="73" t="s">
        <v>4754</v>
      </c>
      <c r="B52" s="73" t="s">
        <v>4755</v>
      </c>
    </row>
    <row customHeight="1" ht="11.25">
      <c r="A53" s="73" t="s">
        <v>4756</v>
      </c>
      <c r="B53" s="73" t="s">
        <v>4757</v>
      </c>
    </row>
    <row customHeight="1" ht="11.25">
      <c r="A54" s="73" t="s">
        <v>4758</v>
      </c>
      <c r="B54" s="73" t="s">
        <v>4759</v>
      </c>
    </row>
    <row customHeight="1" ht="11.25">
      <c r="A55" s="73" t="s">
        <v>4760</v>
      </c>
      <c r="B55" s="73" t="s">
        <v>4761</v>
      </c>
    </row>
    <row customHeight="1" ht="11.25">
      <c r="A56" s="73" t="s">
        <v>4762</v>
      </c>
      <c r="B56" s="73" t="s">
        <v>4763</v>
      </c>
    </row>
    <row customHeight="1" ht="11.25">
      <c r="A57" s="73" t="s">
        <v>4764</v>
      </c>
      <c r="B57" s="73" t="s">
        <v>4765</v>
      </c>
    </row>
    <row customHeight="1" ht="11.25">
      <c r="A58" s="73" t="s">
        <v>4766</v>
      </c>
      <c r="B58" s="73" t="s">
        <v>4767</v>
      </c>
    </row>
    <row customHeight="1" ht="11.25">
      <c r="A59" s="73" t="s">
        <v>4768</v>
      </c>
      <c r="B59" s="73" t="s">
        <v>4769</v>
      </c>
    </row>
    <row customHeight="1" ht="11.25">
      <c r="A60" s="73" t="s">
        <v>4770</v>
      </c>
      <c r="B60" s="73" t="s">
        <v>4771</v>
      </c>
    </row>
    <row customHeight="1" ht="11.25">
      <c r="A61" s="73"/>
      <c r="B61" s="73" t="s">
        <v>4772</v>
      </c>
    </row>
    <row customHeight="1" ht="11.25">
      <c r="A62" s="73"/>
      <c r="B62" s="73" t="s">
        <v>4773</v>
      </c>
    </row>
    <row customHeight="1" ht="11.25">
      <c r="A63" s="73"/>
      <c r="B63" s="73" t="s">
        <v>4774</v>
      </c>
    </row>
    <row customHeight="1" ht="11.25">
      <c r="A64" s="73"/>
      <c r="B64" s="73" t="s">
        <v>4775</v>
      </c>
    </row>
    <row customHeight="1" ht="11.25">
      <c r="A65" s="73"/>
      <c r="B65" s="73" t="s">
        <v>4776</v>
      </c>
    </row>
    <row customHeight="1" ht="11.25">
      <c r="A66" s="73"/>
      <c r="B66" s="73" t="s">
        <v>4777</v>
      </c>
    </row>
    <row customHeight="1" ht="11.25">
      <c r="A67" s="73"/>
      <c r="B67" s="73" t="s">
        <v>4778</v>
      </c>
    </row>
    <row customHeight="1" ht="11.25">
      <c r="A68" s="73"/>
      <c r="B68" s="73" t="s">
        <v>4779</v>
      </c>
    </row>
    <row customHeight="1" ht="11.25">
      <c r="A69" s="73"/>
      <c r="B69" s="73" t="s">
        <v>4780</v>
      </c>
    </row>
    <row customHeight="1" ht="11.25">
      <c r="A70" s="73"/>
      <c r="B70" s="73" t="s">
        <v>4781</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FBAE2-087D-D7B5-CA31-0.6DBDA3C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4782</v>
      </c>
    </row>
    <row customHeight="1" ht="90">
      <c r="B2" s="103" t="s">
        <v>4783</v>
      </c>
    </row>
    <row customHeight="1" ht="67.5">
      <c r="B3" s="103" t="s">
        <v>4784</v>
      </c>
    </row>
    <row customHeight="1" ht="33.75">
      <c r="B4" s="103" t="s">
        <v>4785</v>
      </c>
    </row>
    <row customHeight="1" ht="11.25">
      <c r="B5" s="103" t="s">
        <v>4786</v>
      </c>
    </row>
    <row customHeight="1" ht="22.5">
      <c r="B6" s="103" t="s">
        <v>4787</v>
      </c>
    </row>
    <row customHeight="1" ht="22.5">
      <c r="B7" s="103" t="s">
        <v>4788</v>
      </c>
    </row>
    <row customHeight="1" ht="22.5">
      <c r="B8" s="103" t="s">
        <v>4789</v>
      </c>
    </row>
    <row customHeight="1" ht="22.5">
      <c r="B9" s="103" t="s">
        <v>4790</v>
      </c>
    </row>
    <row customHeight="1" ht="56.25">
      <c r="B10" s="103" t="s">
        <v>4791</v>
      </c>
    </row>
    <row customHeight="1" ht="12.75">
      <c r="B11" s="168" t="s">
        <v>4792</v>
      </c>
    </row>
    <row customHeight="1" ht="11.25">
      <c r="B12" s="102" t="s">
        <v>4793</v>
      </c>
    </row>
    <row customHeight="1" ht="22.5">
      <c r="B13" s="103" t="s">
        <v>4794</v>
      </c>
    </row>
    <row customHeight="1" ht="67.5">
      <c r="B14" s="103" t="s">
        <v>4795</v>
      </c>
    </row>
    <row customHeight="1" ht="22.5">
      <c r="B15" s="103" t="s">
        <v>4796</v>
      </c>
    </row>
    <row customHeight="1" ht="11.25">
      <c r="B16" s="102" t="s">
        <v>4797</v>
      </c>
      <c r="D16" s="109"/>
    </row>
    <row customHeight="1" ht="33.75">
      <c r="B17" s="103" t="s">
        <v>4798</v>
      </c>
    </row>
    <row customHeight="1" ht="33.75">
      <c r="B18" s="103" t="s">
        <v>4799</v>
      </c>
    </row>
    <row customHeight="1" ht="11.25">
      <c r="B19" s="103" t="s">
        <v>4800</v>
      </c>
    </row>
    <row customHeight="1" ht="33.75">
      <c r="B20" s="103" t="s">
        <v>4801</v>
      </c>
    </row>
    <row customHeight="1" ht="11.25">
      <c r="B21" s="102" t="s">
        <v>4802</v>
      </c>
    </row>
    <row customHeight="1" ht="11.25">
      <c r="B22" s="103" t="s">
        <v>4803</v>
      </c>
    </row>
    <row r="24" customHeight="1" ht="22.5">
      <c r="B24" s="170" t="s">
        <v>4804</v>
      </c>
    </row>
    <row r="26" customHeight="1" ht="11.25">
      <c r="B26" s="102" t="s">
        <v>4805</v>
      </c>
    </row>
    <row customHeight="1" ht="22.5">
      <c r="B27" s="169" t="s">
        <v>469</v>
      </c>
    </row>
    <row customHeight="1" ht="56.25">
      <c r="B28" s="169" t="s">
        <v>4806</v>
      </c>
    </row>
    <row customHeight="1" ht="11.25">
      <c r="B29" s="219" t="s">
        <v>4807</v>
      </c>
    </row>
    <row customHeight="1" ht="22.5">
      <c r="B30" s="169" t="s">
        <v>4808</v>
      </c>
    </row>
    <row r="32" customHeight="1" ht="11.25">
      <c r="A32" s="197"/>
      <c r="B32" s="198" t="s">
        <v>4809</v>
      </c>
    </row>
    <row customHeight="1" ht="14.25">
      <c r="A33" s="199">
        <v>1</v>
      </c>
      <c r="B33" s="200" t="s">
        <v>4810</v>
      </c>
    </row>
    <row customHeight="1" ht="14.25">
      <c r="A34" s="199">
        <v>2</v>
      </c>
      <c r="B34" s="200" t="s">
        <v>4811</v>
      </c>
    </row>
    <row customHeight="1" ht="11.25">
      <c r="B35" s="198" t="s">
        <v>4812</v>
      </c>
    </row>
    <row customHeight="1" ht="11.25">
      <c r="B36" s="200" t="s">
        <v>4813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3591B-8F03-4543-9938-0.3854903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425</v>
      </c>
      <c r="I1" s="2226"/>
      <c r="V1" s="1616" t="s">
        <v>14</v>
      </c>
    </row>
    <row s="1644" customFormat="1" customHeight="1" ht="14.25" hidden="1">
      <c r="C2" s="1628"/>
      <c r="D2" s="2242" t="s">
        <v>109</v>
      </c>
      <c r="E2" s="2244"/>
      <c r="F2" s="1634"/>
      <c r="G2" s="1629" t="s">
        <v>109</v>
      </c>
      <c r="H2" s="1632"/>
      <c r="I2" s="1630"/>
      <c r="L2" s="1631"/>
      <c r="M2" s="1631"/>
      <c r="N2" s="1631"/>
      <c r="O2" s="1631" t="s">
        <v>455</v>
      </c>
      <c r="P2" s="1631"/>
      <c r="Q2" s="1631"/>
      <c r="R2" s="1633" t="s">
        <v>454</v>
      </c>
      <c r="S2" s="1633" t="s">
        <v>454</v>
      </c>
      <c r="T2" s="1631"/>
      <c r="U2" s="1631"/>
      <c r="V2" s="1627">
        <v>0</v>
      </c>
    </row>
    <row s="1644" customFormat="1" customHeight="1" ht="14.25" hidden="1">
      <c r="C3" s="1628"/>
      <c r="D3" s="2243"/>
      <c r="E3" s="2245"/>
      <c r="F3" s="414"/>
      <c r="G3" s="878"/>
      <c r="H3" s="878" t="s">
        <v>456</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429</v>
      </c>
      <c r="I5" s="711"/>
      <c r="J5" s="711"/>
      <c r="L5" s="1623"/>
      <c r="M5" s="1623"/>
      <c r="N5" s="1623"/>
      <c r="O5" s="1623"/>
      <c r="P5" s="1623"/>
      <c r="Q5" s="1623"/>
      <c r="R5" s="1623"/>
      <c r="S5" s="1623"/>
      <c r="T5" s="1623"/>
      <c r="U5" s="1623"/>
      <c r="V5" s="1622">
        <v>5</v>
      </c>
    </row>
    <row customHeight="1" ht="29.25">
      <c r="C6" s="1525"/>
      <c r="D6" s="2246" t="s">
        <v>457</v>
      </c>
      <c r="E6" s="2246"/>
      <c r="F6" s="2246"/>
      <c r="G6" s="2246"/>
      <c r="H6" s="2246"/>
      <c r="I6" s="2246"/>
      <c r="J6" s="500"/>
      <c r="K6" s="1624"/>
      <c r="V6" s="1616">
        <v>28</v>
      </c>
    </row>
    <row customHeight="1" ht="18">
      <c r="C7" s="1525"/>
      <c r="D7" s="2185" t="str">
        <f>IF(org=0,"Не определено",org)</f>
        <v>ООО "СамРЭК-Тепло Жигулевск"</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373</v>
      </c>
      <c r="E10" s="2228"/>
      <c r="F10" s="2228"/>
      <c r="G10" s="2228"/>
      <c r="H10" s="2228"/>
      <c r="I10" s="2228"/>
      <c r="J10" s="2232" t="s">
        <v>374</v>
      </c>
      <c r="V10" s="1616">
        <v>14</v>
      </c>
    </row>
    <row customHeight="1" ht="27.299999999999997">
      <c r="C11" s="1525"/>
      <c r="D11" s="2136" t="s">
        <v>88</v>
      </c>
      <c r="E11" s="2232" t="s">
        <v>105</v>
      </c>
      <c r="F11" s="2201" t="s">
        <v>88</v>
      </c>
      <c r="G11" s="2202"/>
      <c r="H11" s="2184" t="s">
        <v>458</v>
      </c>
      <c r="I11" s="2184" t="s">
        <v>459</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449</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109</v>
      </c>
      <c r="E14" s="2244"/>
      <c r="F14" s="1626"/>
      <c r="G14" s="1625" t="s">
        <v>109</v>
      </c>
      <c r="H14" s="1632"/>
      <c r="I14" s="1630"/>
      <c r="J14" s="2178" t="s">
        <v>460</v>
      </c>
      <c r="K14" s="1616"/>
      <c r="R14" s="509" t="s">
        <v>454</v>
      </c>
      <c r="S14" s="509" t="s">
        <v>454</v>
      </c>
      <c r="V14" s="1616">
        <v>14</v>
      </c>
    </row>
    <row customHeight="1" ht="14.699999999999998">
      <c r="A15" s="1616"/>
      <c r="C15" s="1525"/>
      <c r="D15" s="2243"/>
      <c r="E15" s="2245"/>
      <c r="F15" s="414"/>
      <c r="G15" s="878"/>
      <c r="H15" s="878" t="s">
        <v>456</v>
      </c>
      <c r="I15" s="322"/>
      <c r="J15" s="2179"/>
      <c r="K15" s="1616"/>
      <c r="R15" s="509"/>
      <c r="S15" s="509"/>
      <c r="V15" s="1616">
        <v>14</v>
      </c>
    </row>
    <row customHeight="1" ht="14.699999999999998">
      <c r="A16" s="1616"/>
      <c r="C16" s="1525"/>
      <c r="D16" s="414"/>
      <c r="E16" s="878" t="s">
        <v>202</v>
      </c>
      <c r="F16" s="322"/>
      <c r="G16" s="322"/>
      <c r="H16" s="415"/>
      <c r="I16" s="415"/>
      <c r="J16" s="2180"/>
      <c r="K16" s="1616"/>
      <c r="V16" s="1616">
        <v>14</v>
      </c>
    </row>
    <row customHeight="1" ht="14.699999999999998">
      <c r="K17" s="1616"/>
      <c r="V17" s="1616">
        <v>14</v>
      </c>
    </row>
    <row customHeight="1" ht="22.5" hidden="1">
      <c r="A18" s="1617" t="s">
        <v>82</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